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ason\OneDrive\Jason other\Documents\2. AELC\Grad Dip Strtgc Ldrshp new units July 2021 2\Numbat ebikes\"/>
    </mc:Choice>
  </mc:AlternateContent>
  <xr:revisionPtr revIDLastSave="0" documentId="13_ncr:1_{D708C787-9B4A-49A7-B3C4-D54FD58601A7}" xr6:coauthVersionLast="47" xr6:coauthVersionMax="47" xr10:uidLastSave="{00000000-0000-0000-0000-000000000000}"/>
  <bookViews>
    <workbookView xWindow="2865" yWindow="180" windowWidth="24060" windowHeight="15480" xr2:uid="{2EBD6B09-A73E-4164-BB11-50A6D76203AD}"/>
  </bookViews>
  <sheets>
    <sheet name="P&amp;L" sheetId="1" r:id="rId1"/>
    <sheet name="Balance Sheet" sheetId="2" r:id="rId2"/>
    <sheet name="periodic P&amp;L" sheetId="5" r:id="rId3"/>
    <sheet name="inventory held" sheetId="6" r:id="rId4"/>
    <sheet name="marketing" sheetId="3" r:id="rId5"/>
    <sheet name="production" sheetId="4" r:id="rId6"/>
    <sheet name="floor plans" sheetId="7" r:id="rId7"/>
    <sheet name="owners + governance" sheetId="8" r:id="rId8"/>
    <sheet name="employees" sheetId="10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1" i="10" l="1"/>
  <c r="O21" i="8"/>
  <c r="C28" i="8"/>
  <c r="C27" i="8"/>
  <c r="C26" i="8"/>
  <c r="C25" i="8"/>
  <c r="C24" i="8"/>
  <c r="C23" i="8"/>
  <c r="C22" i="8"/>
  <c r="C21" i="8"/>
  <c r="C20" i="8"/>
  <c r="C19" i="8"/>
  <c r="C18" i="8"/>
  <c r="C17" i="8"/>
  <c r="C16" i="8"/>
  <c r="C15" i="8"/>
  <c r="C14" i="8"/>
  <c r="C13" i="8"/>
  <c r="C12" i="8"/>
  <c r="C11" i="8"/>
  <c r="C10" i="8"/>
  <c r="C9" i="8"/>
  <c r="C8" i="8"/>
  <c r="C7" i="8"/>
  <c r="C6" i="8"/>
  <c r="C5" i="8"/>
  <c r="C15" i="5"/>
  <c r="F20" i="5"/>
  <c r="F19" i="5"/>
  <c r="F18" i="5"/>
  <c r="E20" i="5"/>
  <c r="E19" i="5"/>
  <c r="E18" i="5"/>
  <c r="D20" i="5"/>
  <c r="D19" i="5"/>
  <c r="D18" i="5"/>
  <c r="C20" i="5"/>
  <c r="C19" i="5"/>
  <c r="C18" i="5"/>
  <c r="D8" i="6"/>
  <c r="C4" i="6"/>
  <c r="F4" i="6" s="1"/>
  <c r="F12" i="5"/>
  <c r="F10" i="5"/>
  <c r="F9" i="5"/>
  <c r="F8" i="5"/>
  <c r="F6" i="5"/>
  <c r="F4" i="5"/>
  <c r="F5" i="5"/>
  <c r="E12" i="5"/>
  <c r="E6" i="5"/>
  <c r="E10" i="5"/>
  <c r="E8" i="5"/>
  <c r="E9" i="5"/>
  <c r="D9" i="5"/>
  <c r="E5" i="5"/>
  <c r="D5" i="5"/>
  <c r="E4" i="5"/>
  <c r="D12" i="5"/>
  <c r="D10" i="5"/>
  <c r="D8" i="5"/>
  <c r="D6" i="5"/>
  <c r="D4" i="5"/>
  <c r="C1" i="5"/>
  <c r="B4" i="5"/>
  <c r="C4" i="5"/>
  <c r="B5" i="5"/>
  <c r="C5" i="5"/>
  <c r="B6" i="5"/>
  <c r="C6" i="5"/>
  <c r="B8" i="5"/>
  <c r="C8" i="5"/>
  <c r="B9" i="5"/>
  <c r="C9" i="5"/>
  <c r="B10" i="5"/>
  <c r="C10" i="5"/>
  <c r="B12" i="5"/>
  <c r="C12" i="5"/>
  <c r="L25" i="1"/>
  <c r="K25" i="1"/>
  <c r="J25" i="1"/>
  <c r="L24" i="1"/>
  <c r="K24" i="1"/>
  <c r="J24" i="1"/>
  <c r="I25" i="1"/>
  <c r="I24" i="1"/>
  <c r="L17" i="1"/>
  <c r="K17" i="1"/>
  <c r="J17" i="1"/>
  <c r="I17" i="1"/>
  <c r="L19" i="1"/>
  <c r="K19" i="1"/>
  <c r="J19" i="1"/>
  <c r="I19" i="1"/>
  <c r="J20" i="1"/>
  <c r="L20" i="1"/>
  <c r="K20" i="1"/>
  <c r="I20" i="1"/>
  <c r="L22" i="1"/>
  <c r="K22" i="1"/>
  <c r="J22" i="1"/>
  <c r="I22" i="1"/>
  <c r="E7" i="4"/>
  <c r="C14" i="4"/>
  <c r="C13" i="4"/>
  <c r="C11" i="4"/>
  <c r="C7" i="4"/>
  <c r="C5" i="4"/>
  <c r="K4" i="1"/>
  <c r="J4" i="1" s="1"/>
  <c r="I4" i="1" s="1"/>
  <c r="L10" i="1"/>
  <c r="C14" i="1"/>
  <c r="C21" i="5" s="1"/>
  <c r="L6" i="1"/>
  <c r="C13" i="3"/>
  <c r="E35" i="1"/>
  <c r="D35" i="1"/>
  <c r="H20" i="2"/>
  <c r="H13" i="2"/>
  <c r="H9" i="2"/>
  <c r="D16" i="2"/>
  <c r="C15" i="1" s="1"/>
  <c r="C22" i="5" s="1"/>
  <c r="F22" i="5" s="1"/>
  <c r="C29" i="8" l="1"/>
  <c r="D22" i="5"/>
  <c r="E22" i="5"/>
  <c r="F21" i="5"/>
  <c r="E21" i="5"/>
  <c r="D21" i="5"/>
  <c r="D9" i="6"/>
  <c r="D10" i="6" s="1"/>
  <c r="D4" i="6"/>
  <c r="E4" i="6"/>
  <c r="K6" i="1"/>
  <c r="J6" i="1"/>
  <c r="K8" i="1"/>
  <c r="K10" i="1" s="1"/>
  <c r="D15" i="1"/>
  <c r="C36" i="1" s="1"/>
  <c r="H15" i="2"/>
  <c r="H22" i="2" s="1"/>
  <c r="C35" i="1"/>
  <c r="D13" i="6" l="1"/>
  <c r="I6" i="1"/>
  <c r="J10" i="1"/>
  <c r="E15" i="1"/>
  <c r="F15" i="1" s="1"/>
  <c r="D36" i="1" l="1"/>
  <c r="I10" i="1"/>
  <c r="E36" i="1"/>
  <c r="J12" i="1" l="1"/>
  <c r="D6" i="1" s="1"/>
  <c r="I12" i="1"/>
  <c r="C6" i="1" s="1"/>
  <c r="C11" i="1"/>
  <c r="C7" i="1"/>
  <c r="C8" i="1" s="1"/>
  <c r="C12" i="1"/>
  <c r="D9" i="2"/>
  <c r="K12" i="1"/>
  <c r="E6" i="1" s="1"/>
  <c r="L12" i="1"/>
  <c r="F6" i="1" s="1"/>
  <c r="F12" i="1" l="1"/>
  <c r="F7" i="1"/>
  <c r="F8" i="1" s="1"/>
  <c r="F23" i="1" s="1"/>
  <c r="F11" i="1"/>
  <c r="F16" i="1" s="1"/>
  <c r="E7" i="1"/>
  <c r="E11" i="1"/>
  <c r="E33" i="1" s="1"/>
  <c r="E8" i="1"/>
  <c r="E12" i="1"/>
  <c r="E28" i="1"/>
  <c r="D11" i="1"/>
  <c r="D7" i="1"/>
  <c r="D28" i="1"/>
  <c r="D12" i="1"/>
  <c r="C28" i="1"/>
  <c r="C34" i="1"/>
  <c r="C23" i="1"/>
  <c r="D8" i="2"/>
  <c r="C29" i="1"/>
  <c r="C16" i="1"/>
  <c r="C23" i="5" s="1"/>
  <c r="D10" i="2" l="1"/>
  <c r="D12" i="6"/>
  <c r="D14" i="6" s="1"/>
  <c r="F23" i="5"/>
  <c r="E23" i="5"/>
  <c r="D23" i="5"/>
  <c r="E16" i="1"/>
  <c r="E34" i="1"/>
  <c r="D16" i="1"/>
  <c r="D37" i="1" s="1"/>
  <c r="D33" i="1"/>
  <c r="D34" i="1"/>
  <c r="D8" i="1"/>
  <c r="D29" i="1"/>
  <c r="E23" i="1"/>
  <c r="E30" i="1"/>
  <c r="E29" i="1"/>
  <c r="F18" i="1"/>
  <c r="C33" i="1"/>
  <c r="C18" i="1"/>
  <c r="D18" i="2"/>
  <c r="D28" i="2" s="1"/>
  <c r="D27" i="2"/>
  <c r="C37" i="1" l="1"/>
  <c r="F24" i="1"/>
  <c r="F19" i="1"/>
  <c r="F20" i="1" s="1"/>
  <c r="F22" i="1" s="1"/>
  <c r="D23" i="1"/>
  <c r="D30" i="1"/>
  <c r="D18" i="1"/>
  <c r="C30" i="1"/>
  <c r="E18" i="1"/>
  <c r="E37" i="1"/>
  <c r="C19" i="1"/>
  <c r="C20" i="1" s="1"/>
  <c r="C39" i="1"/>
  <c r="C24" i="1"/>
  <c r="E24" i="1" l="1"/>
  <c r="E19" i="1"/>
  <c r="E20" i="1" s="1"/>
  <c r="E22" i="1" s="1"/>
  <c r="E39" i="1"/>
  <c r="D39" i="1"/>
  <c r="D19" i="1"/>
  <c r="D20" i="1" s="1"/>
  <c r="D22" i="1" s="1"/>
  <c r="D24" i="1"/>
  <c r="D30" i="2"/>
  <c r="C22" i="1"/>
  <c r="D29" i="2"/>
</calcChain>
</file>

<file path=xl/sharedStrings.xml><?xml version="1.0" encoding="utf-8"?>
<sst xmlns="http://schemas.openxmlformats.org/spreadsheetml/2006/main" count="331" uniqueCount="207">
  <si>
    <t>Sales</t>
  </si>
  <si>
    <t>COGS</t>
  </si>
  <si>
    <t>Gross Profit</t>
  </si>
  <si>
    <t>financial year</t>
  </si>
  <si>
    <t>2023-24</t>
  </si>
  <si>
    <t>2022-23</t>
  </si>
  <si>
    <t>2021-22</t>
  </si>
  <si>
    <t>2020-21</t>
  </si>
  <si>
    <t>Other expenses</t>
  </si>
  <si>
    <t>Sales and marketing expenses</t>
  </si>
  <si>
    <t>Interest expense</t>
  </si>
  <si>
    <t>Depreciation expense</t>
  </si>
  <si>
    <t>Admin and other operating expenses</t>
  </si>
  <si>
    <t>Assets</t>
  </si>
  <si>
    <t>Current assets</t>
  </si>
  <si>
    <t>cash at bank</t>
  </si>
  <si>
    <t>inventory</t>
  </si>
  <si>
    <t>accounts receivable</t>
  </si>
  <si>
    <t>Non-current assets</t>
  </si>
  <si>
    <t>Fixtures and fittings</t>
  </si>
  <si>
    <t>Vehicles</t>
  </si>
  <si>
    <t>Total current assets</t>
  </si>
  <si>
    <t>Total non-current assets</t>
  </si>
  <si>
    <t>Factory equipment</t>
  </si>
  <si>
    <t>Total other expenses</t>
  </si>
  <si>
    <t>Net profit before tax</t>
  </si>
  <si>
    <t>Net profit after tax</t>
  </si>
  <si>
    <t>$'000</t>
  </si>
  <si>
    <t>Net profit margin</t>
  </si>
  <si>
    <t>Total assets</t>
  </si>
  <si>
    <t>Liabilities</t>
  </si>
  <si>
    <t>Current Liabilities</t>
  </si>
  <si>
    <t>overdraft</t>
  </si>
  <si>
    <t>accounts payable</t>
  </si>
  <si>
    <t>Total current liabilities</t>
  </si>
  <si>
    <t>Non-current liabilities</t>
  </si>
  <si>
    <t>bank loan</t>
  </si>
  <si>
    <t>Total non-current liabilities</t>
  </si>
  <si>
    <t>Total liabilities</t>
  </si>
  <si>
    <t>Equity</t>
  </si>
  <si>
    <t>paid up capital</t>
  </si>
  <si>
    <t>retained earnings</t>
  </si>
  <si>
    <t>total equity</t>
  </si>
  <si>
    <t>Total liabilities +  equity</t>
  </si>
  <si>
    <t>Ratio analysis</t>
  </si>
  <si>
    <t>Current ratio:</t>
  </si>
  <si>
    <t>Debt / Total Assets</t>
  </si>
  <si>
    <t>Return on Assets</t>
  </si>
  <si>
    <t>Gross profit margin</t>
  </si>
  <si>
    <t>FY 23-24</t>
  </si>
  <si>
    <t>EBITDA</t>
  </si>
  <si>
    <t>tax paid</t>
  </si>
  <si>
    <t>Growth</t>
  </si>
  <si>
    <t>Return on Equity</t>
  </si>
  <si>
    <t>Victoria</t>
  </si>
  <si>
    <t>New South Wales</t>
  </si>
  <si>
    <t>Queensland</t>
  </si>
  <si>
    <t>South Australia</t>
  </si>
  <si>
    <t>Western Australia</t>
  </si>
  <si>
    <t>Tasmania</t>
  </si>
  <si>
    <t>Northern Territory</t>
  </si>
  <si>
    <t>Australian Capital Territory</t>
  </si>
  <si>
    <t>Brand awareness</t>
  </si>
  <si>
    <t>age</t>
  </si>
  <si>
    <t>14-18</t>
  </si>
  <si>
    <t>19-25</t>
  </si>
  <si>
    <t>26-35</t>
  </si>
  <si>
    <t>36-50</t>
  </si>
  <si>
    <t>51-65</t>
  </si>
  <si>
    <t>electric bike</t>
  </si>
  <si>
    <t>owners</t>
  </si>
  <si>
    <t>interested</t>
  </si>
  <si>
    <t xml:space="preserve">general </t>
  </si>
  <si>
    <t>population</t>
  </si>
  <si>
    <t>Brand approval</t>
  </si>
  <si>
    <t>Breakdown of sales</t>
  </si>
  <si>
    <t>number of bikes sold</t>
  </si>
  <si>
    <t>average price of bike</t>
  </si>
  <si>
    <t>revenue from sales of bikes</t>
  </si>
  <si>
    <t>Rent and leasing expense</t>
  </si>
  <si>
    <t>number of battery packs sold</t>
  </si>
  <si>
    <t>average price of battery pack</t>
  </si>
  <si>
    <t>total revenue</t>
  </si>
  <si>
    <t>Annual production of bikes</t>
  </si>
  <si>
    <t>weekly production of bikes</t>
  </si>
  <si>
    <t>number of production workers</t>
  </si>
  <si>
    <t>It presently has 22 employees across its different functional areas:</t>
  </si>
  <si>
    <r>
      <t>•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Aptos"/>
        <family val="2"/>
      </rPr>
      <t>Logistics: 2 employees</t>
    </r>
  </si>
  <si>
    <t>Manufacturing: 12 employees</t>
  </si>
  <si>
    <t>weekly bike production per assembly worker</t>
  </si>
  <si>
    <t>number of production hours each week (40 hrs /wk)</t>
  </si>
  <si>
    <t>hours to assemble each bike</t>
  </si>
  <si>
    <t>Cost of goods manufactured</t>
  </si>
  <si>
    <t>opening raw materials balance</t>
  </si>
  <si>
    <t>purchases</t>
  </si>
  <si>
    <t>closing raw materials balance</t>
  </si>
  <si>
    <t>fixed costs of factory</t>
  </si>
  <si>
    <t>equals direct materials</t>
  </si>
  <si>
    <t>direct labour</t>
  </si>
  <si>
    <t>equals cost of good manufactured</t>
  </si>
  <si>
    <t>Direct labour per bike</t>
  </si>
  <si>
    <t>Direct materials per bike</t>
  </si>
  <si>
    <r>
      <t>•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Aptos"/>
        <family val="2"/>
      </rPr>
      <t>Administration and finance/ accounting: 4 employees</t>
    </r>
  </si>
  <si>
    <r>
      <t>•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Aptos"/>
        <family val="2"/>
      </rPr>
      <t>Sales, marketing and customer service: 4 employees</t>
    </r>
  </si>
  <si>
    <t>annual</t>
  </si>
  <si>
    <t>monthly</t>
  </si>
  <si>
    <t>weekly</t>
  </si>
  <si>
    <t>revenue from sale of battery packs</t>
  </si>
  <si>
    <t>daily</t>
  </si>
  <si>
    <t>Assumptions: 252 workdays in a year</t>
  </si>
  <si>
    <t>periodic breakdown</t>
  </si>
  <si>
    <t xml:space="preserve">of revenue </t>
  </si>
  <si>
    <t>electric bicycle production</t>
  </si>
  <si>
    <t>annual cost of direct materials</t>
  </si>
  <si>
    <t>annual bicycle production</t>
  </si>
  <si>
    <t>direct materials cost per bicycle</t>
  </si>
  <si>
    <t>value of inventory held:</t>
  </si>
  <si>
    <t>inventory used weekly:</t>
  </si>
  <si>
    <t>number of weeks inventory held</t>
  </si>
  <si>
    <t xml:space="preserve">Inventory needed for electric bicycle production compared to that held </t>
  </si>
  <si>
    <t xml:space="preserve">of expenses </t>
  </si>
  <si>
    <t>Bay Street</t>
  </si>
  <si>
    <t>carpark</t>
  </si>
  <si>
    <t>factory</t>
  </si>
  <si>
    <t>warehouse</t>
  </si>
  <si>
    <t>Street</t>
  </si>
  <si>
    <t>main</t>
  </si>
  <si>
    <t>entrance</t>
  </si>
  <si>
    <t>office 1</t>
  </si>
  <si>
    <t>office 2</t>
  </si>
  <si>
    <t>Arthur</t>
  </si>
  <si>
    <t>carpark of 24-28 Bay Street</t>
  </si>
  <si>
    <t>paint room</t>
  </si>
  <si>
    <t>25 Bay St</t>
  </si>
  <si>
    <t xml:space="preserve">  Factory and warehouse</t>
  </si>
  <si>
    <t xml:space="preserve">  27-29 Bay Street, Broadmeadow  VIC</t>
  </si>
  <si>
    <t>bathrooms</t>
  </si>
  <si>
    <t>M</t>
  </si>
  <si>
    <t>F</t>
  </si>
  <si>
    <t>stairs</t>
  </si>
  <si>
    <t>elevator</t>
  </si>
  <si>
    <t>Location of EBC stockists: Feb25</t>
  </si>
  <si>
    <t>Profit and loss statements for Numbat ebikes</t>
  </si>
  <si>
    <t>Balance Sheet for Numbat ebikes as at 30Jun24</t>
  </si>
  <si>
    <t>Numbat ebikes Production:</t>
  </si>
  <si>
    <t>Numbat ebikes electric bicycles and accessories distribution</t>
  </si>
  <si>
    <t>Numbat ebikes Brand awarensss and affinity</t>
  </si>
  <si>
    <t xml:space="preserve">  Floor plan for Numbat ebikes</t>
  </si>
  <si>
    <t>shareholders</t>
  </si>
  <si>
    <t>Dennis Lilie</t>
  </si>
  <si>
    <t>Helen Lilie</t>
  </si>
  <si>
    <t>Rodney March</t>
  </si>
  <si>
    <t>directors</t>
  </si>
  <si>
    <t>Greg Chappen</t>
  </si>
  <si>
    <t>executive director</t>
  </si>
  <si>
    <t>non-executive director</t>
  </si>
  <si>
    <t>%</t>
  </si>
  <si>
    <t>Numbat ebikes ownership and governance</t>
  </si>
  <si>
    <t>Alan Boider</t>
  </si>
  <si>
    <t>CEO</t>
  </si>
  <si>
    <t>Marketing Manager</t>
  </si>
  <si>
    <t>Elise Penny</t>
  </si>
  <si>
    <t>CFO</t>
  </si>
  <si>
    <t>Shane Warnie</t>
  </si>
  <si>
    <t>Sales Manager</t>
  </si>
  <si>
    <t>Glen Mygragh</t>
  </si>
  <si>
    <t>Operations Manager</t>
  </si>
  <si>
    <t>Dean Johns</t>
  </si>
  <si>
    <t>Design Engineer</t>
  </si>
  <si>
    <t>current employees</t>
  </si>
  <si>
    <t>Mark Waught</t>
  </si>
  <si>
    <t>Adam Gilkrys</t>
  </si>
  <si>
    <t>Justin Longer</t>
  </si>
  <si>
    <t>Ricky Pointing</t>
  </si>
  <si>
    <t>David Boome</t>
  </si>
  <si>
    <t>David Wartner</t>
  </si>
  <si>
    <t>Steve Smythe</t>
  </si>
  <si>
    <t>Alyssa Heaney</t>
  </si>
  <si>
    <t>Meg Lanny</t>
  </si>
  <si>
    <t>Belinda Clarch</t>
  </si>
  <si>
    <t>Karen Ralton</t>
  </si>
  <si>
    <t>Annabel Sunderland</t>
  </si>
  <si>
    <t>Ashleigh Gartner</t>
  </si>
  <si>
    <t>Matthew Highden</t>
  </si>
  <si>
    <t>Brett Leech</t>
  </si>
  <si>
    <t>Mitchel Jonston</t>
  </si>
  <si>
    <t>executive committee</t>
  </si>
  <si>
    <t>department</t>
  </si>
  <si>
    <t>year started</t>
  </si>
  <si>
    <t>tenure (uears)</t>
  </si>
  <si>
    <t>average employee tenure</t>
  </si>
  <si>
    <t>years</t>
  </si>
  <si>
    <t>Numbat ebikes Pty Ltd employees</t>
  </si>
  <si>
    <t>name</t>
  </si>
  <si>
    <t>type</t>
  </si>
  <si>
    <t>title</t>
  </si>
  <si>
    <t>average employee tenure (in years)</t>
  </si>
  <si>
    <t>Design</t>
  </si>
  <si>
    <t>Manufacturing</t>
  </si>
  <si>
    <t>Finance</t>
  </si>
  <si>
    <t>Administration</t>
  </si>
  <si>
    <t>Customer service</t>
  </si>
  <si>
    <t>Marketing</t>
  </si>
  <si>
    <t>started</t>
  </si>
  <si>
    <t>tenure (years)</t>
  </si>
  <si>
    <t>nominal value of shares</t>
  </si>
  <si>
    <t>total shares issued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</si>
</sst>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&quot;$&quot;* #,##0_-;\-&quot;$&quot;* #,##0_-;_-&quot;$&quot;* &quot;-&quot;??_-;_-@_-"/>
    <numFmt numFmtId="165" formatCode="0.0%"/>
    <numFmt numFmtId="166" formatCode="#,##0.0_ ;\-#,##0.0\ "/>
    <numFmt numFmtId="167" formatCode="#,##0_ ;\-#,##0\ "/>
    <numFmt numFmtId="168" formatCode="0.0"/>
    <numFmt numFmtId="169" formatCode="_-* #,##0_-;\-* #,##0_-;_-* &quot;-&quot;??_-;_-@_-"/>
  </numFmts>
  <fonts count="1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i/>
      <sz val="11"/>
      <color theme="1"/>
      <name val="Aptos Narrow"/>
      <family val="2"/>
      <scheme val="minor"/>
    </font>
    <font>
      <sz val="11"/>
      <color theme="1"/>
      <name val="Aptos"/>
      <family val="2"/>
    </font>
    <font>
      <sz val="7"/>
      <color theme="1"/>
      <name val="Times New Roman"/>
      <family val="1"/>
    </font>
    <font>
      <sz val="14"/>
      <color theme="0"/>
      <name val="Aptos Narrow"/>
      <family val="2"/>
      <scheme val="minor"/>
    </font>
    <font>
      <sz val="11"/>
      <color rgb="FF002060"/>
      <name val="Aptos Narrow"/>
      <family val="2"/>
      <scheme val="minor"/>
    </font>
    <font>
      <sz val="11"/>
      <color theme="8" tint="-0.249977111117893"/>
      <name val="Aptos Narrow"/>
      <family val="2"/>
      <scheme val="minor"/>
    </font>
    <font>
      <sz val="11"/>
      <color theme="5" tint="-0.499984740745262"/>
      <name val="Aptos Narrow"/>
      <family val="2"/>
      <scheme val="minor"/>
    </font>
    <font>
      <sz val="11"/>
      <color theme="9" tint="-0.499984740745262"/>
      <name val="Aptos Narrow"/>
      <family val="2"/>
      <scheme val="minor"/>
    </font>
    <font>
      <sz val="11"/>
      <name val="Aptos Narrow"/>
      <family val="2"/>
      <scheme val="minor"/>
    </font>
    <font>
      <sz val="11"/>
      <color theme="1"/>
      <name val="Arial"/>
      <family val="2"/>
    </font>
    <font>
      <b/>
      <sz val="11"/>
      <color rgb="FF002060"/>
      <name val="Arial"/>
      <family val="2"/>
    </font>
    <font>
      <sz val="11"/>
      <color theme="0"/>
      <name val="Arial"/>
      <family val="2"/>
    </font>
    <font>
      <b/>
      <sz val="11"/>
      <color theme="1"/>
      <name val="Arial"/>
      <family val="2"/>
    </font>
    <font>
      <b/>
      <sz val="12"/>
      <color rgb="FF002060"/>
      <name val="Arial"/>
      <family val="2"/>
    </font>
    <font>
      <b/>
      <sz val="11"/>
      <color theme="0"/>
      <name val="Aptos Narrow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249977111117893"/>
        <bgColor indexed="64"/>
      </patternFill>
    </fill>
    <fill>
      <patternFill patternType="solid">
        <fgColor theme="3" tint="0.499984740745262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1C54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rgb="FFE9F7FD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F4FBFE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12506C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16">
    <xf numFmtId="0" fontId="0" fillId="0" borderId="0" xfId="0"/>
    <xf numFmtId="164" fontId="0" fillId="0" borderId="0" xfId="1" applyNumberFormat="1" applyFont="1"/>
    <xf numFmtId="9" fontId="0" fillId="0" borderId="0" xfId="2" applyFont="1"/>
    <xf numFmtId="165" fontId="0" fillId="0" borderId="0" xfId="2" applyNumberFormat="1" applyFont="1"/>
    <xf numFmtId="166" fontId="0" fillId="0" borderId="0" xfId="1" applyNumberFormat="1" applyFont="1"/>
    <xf numFmtId="0" fontId="2" fillId="0" borderId="0" xfId="0" applyFont="1"/>
    <xf numFmtId="0" fontId="0" fillId="0" borderId="1" xfId="0" applyBorder="1"/>
    <xf numFmtId="164" fontId="0" fillId="0" borderId="0" xfId="1" applyNumberFormat="1" applyFont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164" fontId="0" fillId="0" borderId="11" xfId="1" applyNumberFormat="1" applyFont="1" applyBorder="1"/>
    <xf numFmtId="165" fontId="0" fillId="0" borderId="0" xfId="2" applyNumberFormat="1" applyFont="1" applyBorder="1"/>
    <xf numFmtId="165" fontId="0" fillId="0" borderId="11" xfId="2" applyNumberFormat="1" applyFont="1" applyBorder="1"/>
    <xf numFmtId="0" fontId="0" fillId="8" borderId="7" xfId="0" applyFill="1" applyBorder="1"/>
    <xf numFmtId="164" fontId="2" fillId="0" borderId="0" xfId="1" applyNumberFormat="1" applyFont="1" applyBorder="1"/>
    <xf numFmtId="0" fontId="2" fillId="0" borderId="7" xfId="0" applyFont="1" applyBorder="1"/>
    <xf numFmtId="164" fontId="2" fillId="0" borderId="11" xfId="1" applyNumberFormat="1" applyFont="1" applyBorder="1"/>
    <xf numFmtId="165" fontId="0" fillId="0" borderId="12" xfId="2" applyNumberFormat="1" applyFont="1" applyBorder="1"/>
    <xf numFmtId="165" fontId="0" fillId="0" borderId="13" xfId="2" applyNumberFormat="1" applyFont="1" applyBorder="1"/>
    <xf numFmtId="0" fontId="3" fillId="2" borderId="8" xfId="0" applyFont="1" applyFill="1" applyBorder="1"/>
    <xf numFmtId="0" fontId="3" fillId="3" borderId="9" xfId="0" applyFont="1" applyFill="1" applyBorder="1"/>
    <xf numFmtId="0" fontId="0" fillId="0" borderId="12" xfId="0" applyBorder="1"/>
    <xf numFmtId="164" fontId="2" fillId="0" borderId="13" xfId="1" applyNumberFormat="1" applyFont="1" applyBorder="1"/>
    <xf numFmtId="0" fontId="0" fillId="0" borderId="11" xfId="0" applyBorder="1"/>
    <xf numFmtId="0" fontId="3" fillId="3" borderId="8" xfId="0" applyFont="1" applyFill="1" applyBorder="1"/>
    <xf numFmtId="0" fontId="3" fillId="3" borderId="10" xfId="0" applyFont="1" applyFill="1" applyBorder="1"/>
    <xf numFmtId="0" fontId="2" fillId="0" borderId="13" xfId="0" applyFont="1" applyBorder="1"/>
    <xf numFmtId="9" fontId="0" fillId="0" borderId="0" xfId="2" applyFont="1" applyBorder="1"/>
    <xf numFmtId="9" fontId="0" fillId="0" borderId="11" xfId="2" applyFont="1" applyBorder="1"/>
    <xf numFmtId="9" fontId="0" fillId="0" borderId="12" xfId="2" applyFont="1" applyBorder="1"/>
    <xf numFmtId="9" fontId="0" fillId="0" borderId="13" xfId="2" applyFont="1" applyBorder="1"/>
    <xf numFmtId="0" fontId="4" fillId="0" borderId="7" xfId="0" applyFont="1" applyBorder="1"/>
    <xf numFmtId="0" fontId="0" fillId="8" borderId="0" xfId="0" applyFill="1"/>
    <xf numFmtId="164" fontId="4" fillId="0" borderId="0" xfId="1" applyNumberFormat="1" applyFont="1" applyBorder="1" applyAlignment="1">
      <alignment horizontal="center"/>
    </xf>
    <xf numFmtId="167" fontId="4" fillId="0" borderId="0" xfId="1" quotePrefix="1" applyNumberFormat="1" applyFont="1" applyBorder="1"/>
    <xf numFmtId="167" fontId="4" fillId="0" borderId="11" xfId="1" quotePrefix="1" applyNumberFormat="1" applyFont="1" applyBorder="1"/>
    <xf numFmtId="164" fontId="4" fillId="0" borderId="7" xfId="1" applyNumberFormat="1" applyFont="1" applyFill="1" applyBorder="1"/>
    <xf numFmtId="164" fontId="0" fillId="0" borderId="12" xfId="0" applyNumberFormat="1" applyBorder="1"/>
    <xf numFmtId="164" fontId="0" fillId="0" borderId="13" xfId="0" applyNumberFormat="1" applyBorder="1"/>
    <xf numFmtId="0" fontId="3" fillId="6" borderId="8" xfId="0" applyFont="1" applyFill="1" applyBorder="1"/>
    <xf numFmtId="0" fontId="4" fillId="0" borderId="0" xfId="0" applyFont="1" applyAlignment="1">
      <alignment horizontal="center"/>
    </xf>
    <xf numFmtId="0" fontId="4" fillId="0" borderId="11" xfId="0" applyFont="1" applyBorder="1" applyAlignment="1">
      <alignment horizontal="center"/>
    </xf>
    <xf numFmtId="164" fontId="4" fillId="0" borderId="0" xfId="1" quotePrefix="1" applyNumberFormat="1" applyFont="1" applyBorder="1" applyAlignment="1">
      <alignment horizontal="center"/>
    </xf>
    <xf numFmtId="164" fontId="4" fillId="0" borderId="11" xfId="1" quotePrefix="1" applyNumberFormat="1" applyFont="1" applyBorder="1" applyAlignment="1">
      <alignment horizontal="center"/>
    </xf>
    <xf numFmtId="0" fontId="3" fillId="4" borderId="0" xfId="0" applyFont="1" applyFill="1"/>
    <xf numFmtId="0" fontId="4" fillId="0" borderId="8" xfId="0" applyFont="1" applyBorder="1"/>
    <xf numFmtId="1" fontId="0" fillId="0" borderId="9" xfId="0" applyNumberFormat="1" applyBorder="1"/>
    <xf numFmtId="1" fontId="0" fillId="0" borderId="10" xfId="0" applyNumberFormat="1" applyBorder="1"/>
    <xf numFmtId="0" fontId="2" fillId="0" borderId="2" xfId="0" applyFont="1" applyBorder="1"/>
    <xf numFmtId="164" fontId="2" fillId="0" borderId="14" xfId="0" applyNumberFormat="1" applyFont="1" applyBorder="1"/>
    <xf numFmtId="164" fontId="2" fillId="0" borderId="3" xfId="0" applyNumberFormat="1" applyFont="1" applyBorder="1"/>
    <xf numFmtId="0" fontId="2" fillId="0" borderId="6" xfId="0" applyFont="1" applyBorder="1"/>
    <xf numFmtId="164" fontId="2" fillId="0" borderId="12" xfId="1" applyNumberFormat="1" applyFont="1" applyBorder="1"/>
    <xf numFmtId="168" fontId="0" fillId="0" borderId="0" xfId="0" applyNumberFormat="1"/>
    <xf numFmtId="1" fontId="0" fillId="0" borderId="0" xfId="0" applyNumberFormat="1"/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 indent="4"/>
    </xf>
    <xf numFmtId="164" fontId="0" fillId="0" borderId="0" xfId="1" applyNumberFormat="1" applyFont="1" applyFill="1" applyBorder="1"/>
    <xf numFmtId="0" fontId="3" fillId="6" borderId="0" xfId="0" applyFont="1" applyFill="1"/>
    <xf numFmtId="164" fontId="0" fillId="0" borderId="0" xfId="0" applyNumberFormat="1"/>
    <xf numFmtId="169" fontId="0" fillId="0" borderId="0" xfId="3" applyNumberFormat="1" applyFont="1"/>
    <xf numFmtId="0" fontId="7" fillId="6" borderId="8" xfId="0" applyFont="1" applyFill="1" applyBorder="1"/>
    <xf numFmtId="0" fontId="7" fillId="6" borderId="7" xfId="0" applyFont="1" applyFill="1" applyBorder="1"/>
    <xf numFmtId="0" fontId="3" fillId="9" borderId="0" xfId="0" applyFont="1" applyFill="1"/>
    <xf numFmtId="0" fontId="3" fillId="10" borderId="0" xfId="0" applyFont="1" applyFill="1"/>
    <xf numFmtId="0" fontId="3" fillId="11" borderId="0" xfId="0" applyFont="1" applyFill="1"/>
    <xf numFmtId="0" fontId="3" fillId="6" borderId="11" xfId="0" applyFont="1" applyFill="1" applyBorder="1"/>
    <xf numFmtId="0" fontId="12" fillId="0" borderId="7" xfId="0" applyFont="1" applyBorder="1"/>
    <xf numFmtId="167" fontId="8" fillId="0" borderId="0" xfId="1" applyNumberFormat="1" applyFont="1" applyBorder="1"/>
    <xf numFmtId="167" fontId="9" fillId="0" borderId="0" xfId="0" applyNumberFormat="1" applyFont="1"/>
    <xf numFmtId="167" fontId="10" fillId="0" borderId="0" xfId="0" applyNumberFormat="1" applyFont="1"/>
    <xf numFmtId="1" fontId="11" fillId="0" borderId="11" xfId="0" applyNumberFormat="1" applyFont="1" applyBorder="1"/>
    <xf numFmtId="0" fontId="3" fillId="9" borderId="9" xfId="0" applyFont="1" applyFill="1" applyBorder="1"/>
    <xf numFmtId="0" fontId="3" fillId="10" borderId="9" xfId="0" applyFont="1" applyFill="1" applyBorder="1"/>
    <xf numFmtId="0" fontId="3" fillId="11" borderId="9" xfId="0" applyFont="1" applyFill="1" applyBorder="1"/>
    <xf numFmtId="0" fontId="3" fillId="6" borderId="10" xfId="0" applyFont="1" applyFill="1" applyBorder="1"/>
    <xf numFmtId="0" fontId="3" fillId="6" borderId="7" xfId="0" applyFont="1" applyFill="1" applyBorder="1"/>
    <xf numFmtId="167" fontId="0" fillId="0" borderId="0" xfId="0" applyNumberFormat="1"/>
    <xf numFmtId="44" fontId="0" fillId="0" borderId="0" xfId="0" applyNumberFormat="1"/>
    <xf numFmtId="168" fontId="0" fillId="0" borderId="12" xfId="0" applyNumberFormat="1" applyBorder="1"/>
    <xf numFmtId="0" fontId="0" fillId="0" borderId="13" xfId="0" applyBorder="1"/>
    <xf numFmtId="0" fontId="0" fillId="8" borderId="9" xfId="0" applyFill="1" applyBorder="1"/>
    <xf numFmtId="0" fontId="0" fillId="8" borderId="10" xfId="0" applyFill="1" applyBorder="1"/>
    <xf numFmtId="0" fontId="0" fillId="8" borderId="11" xfId="0" applyFill="1" applyBorder="1"/>
    <xf numFmtId="0" fontId="12" fillId="8" borderId="7" xfId="0" applyFont="1" applyFill="1" applyBorder="1"/>
    <xf numFmtId="0" fontId="8" fillId="8" borderId="0" xfId="0" applyFont="1" applyFill="1"/>
    <xf numFmtId="0" fontId="9" fillId="8" borderId="0" xfId="0" applyFont="1" applyFill="1"/>
    <xf numFmtId="0" fontId="10" fillId="8" borderId="0" xfId="0" applyFont="1" applyFill="1"/>
    <xf numFmtId="0" fontId="11" fillId="8" borderId="11" xfId="0" applyFont="1" applyFill="1" applyBorder="1"/>
    <xf numFmtId="164" fontId="9" fillId="8" borderId="0" xfId="0" applyNumberFormat="1" applyFont="1" applyFill="1"/>
    <xf numFmtId="0" fontId="12" fillId="0" borderId="1" xfId="0" applyFont="1" applyBorder="1"/>
    <xf numFmtId="167" fontId="8" fillId="0" borderId="1" xfId="1" applyNumberFormat="1" applyFont="1" applyBorder="1"/>
    <xf numFmtId="167" fontId="9" fillId="0" borderId="1" xfId="0" applyNumberFormat="1" applyFont="1" applyBorder="1"/>
    <xf numFmtId="167" fontId="10" fillId="0" borderId="1" xfId="0" applyNumberFormat="1" applyFont="1" applyBorder="1"/>
    <xf numFmtId="1" fontId="11" fillId="0" borderId="1" xfId="0" applyNumberFormat="1" applyFont="1" applyBorder="1"/>
    <xf numFmtId="164" fontId="8" fillId="0" borderId="1" xfId="1" applyNumberFormat="1" applyFont="1" applyBorder="1"/>
    <xf numFmtId="164" fontId="9" fillId="0" borderId="1" xfId="0" applyNumberFormat="1" applyFont="1" applyBorder="1"/>
    <xf numFmtId="167" fontId="11" fillId="0" borderId="1" xfId="0" applyNumberFormat="1" applyFont="1" applyBorder="1"/>
    <xf numFmtId="164" fontId="10" fillId="0" borderId="1" xfId="0" applyNumberFormat="1" applyFont="1" applyBorder="1"/>
    <xf numFmtId="164" fontId="11" fillId="0" borderId="1" xfId="1" applyNumberFormat="1" applyFont="1" applyBorder="1"/>
    <xf numFmtId="1" fontId="10" fillId="0" borderId="1" xfId="0" applyNumberFormat="1" applyFont="1" applyBorder="1"/>
    <xf numFmtId="164" fontId="11" fillId="0" borderId="1" xfId="0" applyNumberFormat="1" applyFont="1" applyBorder="1"/>
    <xf numFmtId="164" fontId="0" fillId="0" borderId="1" xfId="1" applyNumberFormat="1" applyFont="1" applyBorder="1"/>
    <xf numFmtId="164" fontId="0" fillId="0" borderId="1" xfId="0" applyNumberFormat="1" applyBorder="1"/>
    <xf numFmtId="0" fontId="0" fillId="15" borderId="7" xfId="0" applyFill="1" applyBorder="1"/>
    <xf numFmtId="0" fontId="0" fillId="15" borderId="0" xfId="0" applyFill="1"/>
    <xf numFmtId="0" fontId="0" fillId="15" borderId="11" xfId="0" applyFill="1" applyBorder="1"/>
    <xf numFmtId="0" fontId="0" fillId="15" borderId="6" xfId="0" applyFill="1" applyBorder="1"/>
    <xf numFmtId="0" fontId="0" fillId="15" borderId="12" xfId="0" applyFill="1" applyBorder="1"/>
    <xf numFmtId="0" fontId="0" fillId="15" borderId="13" xfId="0" applyFill="1" applyBorder="1"/>
    <xf numFmtId="0" fontId="0" fillId="8" borderId="2" xfId="0" applyFill="1" applyBorder="1"/>
    <xf numFmtId="0" fontId="13" fillId="16" borderId="0" xfId="0" applyFont="1" applyFill="1"/>
    <xf numFmtId="0" fontId="13" fillId="0" borderId="0" xfId="0" applyFont="1"/>
    <xf numFmtId="0" fontId="13" fillId="13" borderId="0" xfId="0" applyFont="1" applyFill="1"/>
    <xf numFmtId="0" fontId="13" fillId="12" borderId="8" xfId="0" applyFont="1" applyFill="1" applyBorder="1"/>
    <xf numFmtId="0" fontId="13" fillId="12" borderId="9" xfId="0" applyFont="1" applyFill="1" applyBorder="1"/>
    <xf numFmtId="0" fontId="13" fillId="12" borderId="10" xfId="0" applyFont="1" applyFill="1" applyBorder="1"/>
    <xf numFmtId="0" fontId="13" fillId="14" borderId="9" xfId="0" applyFont="1" applyFill="1" applyBorder="1"/>
    <xf numFmtId="0" fontId="13" fillId="14" borderId="10" xfId="0" applyFont="1" applyFill="1" applyBorder="1"/>
    <xf numFmtId="0" fontId="13" fillId="8" borderId="0" xfId="0" applyFont="1" applyFill="1"/>
    <xf numFmtId="0" fontId="13" fillId="12" borderId="7" xfId="0" applyFont="1" applyFill="1" applyBorder="1"/>
    <xf numFmtId="0" fontId="13" fillId="12" borderId="0" xfId="0" applyFont="1" applyFill="1"/>
    <xf numFmtId="0" fontId="13" fillId="12" borderId="11" xfId="0" applyFont="1" applyFill="1" applyBorder="1"/>
    <xf numFmtId="0" fontId="13" fillId="14" borderId="0" xfId="0" applyFont="1" applyFill="1"/>
    <xf numFmtId="0" fontId="13" fillId="14" borderId="11" xfId="0" applyFont="1" applyFill="1" applyBorder="1"/>
    <xf numFmtId="0" fontId="15" fillId="16" borderId="0" xfId="0" applyFont="1" applyFill="1"/>
    <xf numFmtId="0" fontId="15" fillId="13" borderId="0" xfId="0" applyFont="1" applyFill="1"/>
    <xf numFmtId="0" fontId="13" fillId="12" borderId="6" xfId="0" applyFont="1" applyFill="1" applyBorder="1"/>
    <xf numFmtId="0" fontId="13" fillId="12" borderId="12" xfId="0" applyFont="1" applyFill="1" applyBorder="1"/>
    <xf numFmtId="0" fontId="13" fillId="12" borderId="13" xfId="0" applyFont="1" applyFill="1" applyBorder="1"/>
    <xf numFmtId="0" fontId="13" fillId="14" borderId="7" xfId="0" applyFont="1" applyFill="1" applyBorder="1"/>
    <xf numFmtId="0" fontId="13" fillId="14" borderId="4" xfId="0" applyFont="1" applyFill="1" applyBorder="1"/>
    <xf numFmtId="0" fontId="13" fillId="14" borderId="15" xfId="0" applyFont="1" applyFill="1" applyBorder="1" applyAlignment="1">
      <alignment horizontal="center"/>
    </xf>
    <xf numFmtId="0" fontId="13" fillId="14" borderId="15" xfId="0" applyFont="1" applyFill="1" applyBorder="1"/>
    <xf numFmtId="0" fontId="13" fillId="14" borderId="5" xfId="0" applyFont="1" applyFill="1" applyBorder="1"/>
    <xf numFmtId="0" fontId="13" fillId="14" borderId="12" xfId="0" applyFont="1" applyFill="1" applyBorder="1"/>
    <xf numFmtId="0" fontId="13" fillId="14" borderId="6" xfId="0" applyFont="1" applyFill="1" applyBorder="1"/>
    <xf numFmtId="0" fontId="13" fillId="14" borderId="13" xfId="0" applyFont="1" applyFill="1" applyBorder="1"/>
    <xf numFmtId="0" fontId="13" fillId="15" borderId="7" xfId="0" applyFont="1" applyFill="1" applyBorder="1"/>
    <xf numFmtId="0" fontId="13" fillId="15" borderId="0" xfId="0" applyFont="1" applyFill="1"/>
    <xf numFmtId="0" fontId="13" fillId="8" borderId="7" xfId="0" applyFont="1" applyFill="1" applyBorder="1"/>
    <xf numFmtId="0" fontId="13" fillId="15" borderId="6" xfId="0" applyFont="1" applyFill="1" applyBorder="1"/>
    <xf numFmtId="0" fontId="13" fillId="15" borderId="12" xfId="0" applyFont="1" applyFill="1" applyBorder="1"/>
    <xf numFmtId="0" fontId="13" fillId="8" borderId="12" xfId="0" applyFont="1" applyFill="1" applyBorder="1"/>
    <xf numFmtId="0" fontId="13" fillId="8" borderId="2" xfId="0" applyFont="1" applyFill="1" applyBorder="1"/>
    <xf numFmtId="0" fontId="0" fillId="15" borderId="8" xfId="0" applyFill="1" applyBorder="1"/>
    <xf numFmtId="0" fontId="0" fillId="15" borderId="9" xfId="0" applyFill="1" applyBorder="1"/>
    <xf numFmtId="0" fontId="0" fillId="8" borderId="14" xfId="0" applyFill="1" applyBorder="1"/>
    <xf numFmtId="0" fontId="0" fillId="8" borderId="3" xfId="0" applyFill="1" applyBorder="1"/>
    <xf numFmtId="0" fontId="13" fillId="14" borderId="8" xfId="0" applyFont="1" applyFill="1" applyBorder="1"/>
    <xf numFmtId="0" fontId="13" fillId="14" borderId="7" xfId="0" applyFont="1" applyFill="1" applyBorder="1" applyAlignment="1">
      <alignment horizontal="center"/>
    </xf>
    <xf numFmtId="0" fontId="14" fillId="12" borderId="0" xfId="0" applyFont="1" applyFill="1"/>
    <xf numFmtId="0" fontId="14" fillId="14" borderId="0" xfId="0" applyFont="1" applyFill="1"/>
    <xf numFmtId="0" fontId="16" fillId="15" borderId="0" xfId="0" applyFont="1" applyFill="1"/>
    <xf numFmtId="0" fontId="2" fillId="15" borderId="0" xfId="0" applyFont="1" applyFill="1"/>
    <xf numFmtId="0" fontId="17" fillId="8" borderId="0" xfId="0" applyFont="1" applyFill="1"/>
    <xf numFmtId="0" fontId="14" fillId="12" borderId="12" xfId="0" applyFont="1" applyFill="1" applyBorder="1"/>
    <xf numFmtId="0" fontId="13" fillId="14" borderId="0" xfId="0" applyFont="1" applyFill="1" applyAlignment="1">
      <alignment horizontal="right"/>
    </xf>
    <xf numFmtId="0" fontId="4" fillId="8" borderId="7" xfId="0" applyFont="1" applyFill="1" applyBorder="1"/>
    <xf numFmtId="164" fontId="4" fillId="8" borderId="0" xfId="1" quotePrefix="1" applyNumberFormat="1" applyFont="1" applyFill="1" applyBorder="1" applyAlignment="1">
      <alignment horizontal="center"/>
    </xf>
    <xf numFmtId="0" fontId="4" fillId="8" borderId="0" xfId="0" applyFont="1" applyFill="1"/>
    <xf numFmtId="164" fontId="4" fillId="8" borderId="11" xfId="1" quotePrefix="1" applyNumberFormat="1" applyFont="1" applyFill="1" applyBorder="1" applyAlignment="1">
      <alignment horizontal="center"/>
    </xf>
    <xf numFmtId="164" fontId="0" fillId="8" borderId="0" xfId="1" applyNumberFormat="1" applyFont="1" applyFill="1" applyBorder="1"/>
    <xf numFmtId="164" fontId="0" fillId="8" borderId="11" xfId="1" applyNumberFormat="1" applyFont="1" applyFill="1" applyBorder="1"/>
    <xf numFmtId="164" fontId="0" fillId="8" borderId="13" xfId="1" applyNumberFormat="1" applyFont="1" applyFill="1" applyBorder="1"/>
    <xf numFmtId="164" fontId="0" fillId="8" borderId="12" xfId="1" applyNumberFormat="1" applyFont="1" applyFill="1" applyBorder="1"/>
    <xf numFmtId="0" fontId="2" fillId="8" borderId="0" xfId="0" applyFont="1" applyFill="1"/>
    <xf numFmtId="164" fontId="4" fillId="8" borderId="9" xfId="1" quotePrefix="1" applyNumberFormat="1" applyFont="1" applyFill="1" applyBorder="1" applyAlignment="1">
      <alignment horizontal="center"/>
    </xf>
    <xf numFmtId="164" fontId="4" fillId="8" borderId="10" xfId="1" quotePrefix="1" applyNumberFormat="1" applyFont="1" applyFill="1" applyBorder="1" applyAlignment="1">
      <alignment horizontal="center"/>
    </xf>
    <xf numFmtId="164" fontId="2" fillId="8" borderId="0" xfId="1" applyNumberFormat="1" applyFont="1" applyFill="1" applyBorder="1"/>
    <xf numFmtId="0" fontId="0" fillId="8" borderId="6" xfId="0" applyFill="1" applyBorder="1"/>
    <xf numFmtId="0" fontId="0" fillId="8" borderId="12" xfId="0" applyFill="1" applyBorder="1"/>
    <xf numFmtId="0" fontId="2" fillId="8" borderId="12" xfId="0" applyFont="1" applyFill="1" applyBorder="1"/>
    <xf numFmtId="164" fontId="2" fillId="8" borderId="3" xfId="1" applyNumberFormat="1" applyFont="1" applyFill="1" applyBorder="1"/>
    <xf numFmtId="164" fontId="2" fillId="8" borderId="14" xfId="1" applyNumberFormat="1" applyFont="1" applyFill="1" applyBorder="1"/>
    <xf numFmtId="15" fontId="0" fillId="0" borderId="0" xfId="0" applyNumberFormat="1"/>
    <xf numFmtId="0" fontId="3" fillId="17" borderId="0" xfId="0" applyFont="1" applyFill="1"/>
    <xf numFmtId="0" fontId="7" fillId="17" borderId="0" xfId="0" applyFont="1" applyFill="1"/>
    <xf numFmtId="15" fontId="2" fillId="0" borderId="1" xfId="0" applyNumberFormat="1" applyFont="1" applyBorder="1"/>
    <xf numFmtId="0" fontId="18" fillId="17" borderId="1" xfId="0" applyFont="1" applyFill="1" applyBorder="1"/>
    <xf numFmtId="0" fontId="4" fillId="8" borderId="1" xfId="0" applyFont="1" applyFill="1" applyBorder="1"/>
    <xf numFmtId="0" fontId="0" fillId="8" borderId="1" xfId="0" applyFill="1" applyBorder="1"/>
    <xf numFmtId="10" fontId="0" fillId="8" borderId="1" xfId="2" applyNumberFormat="1" applyFont="1" applyFill="1" applyBorder="1"/>
    <xf numFmtId="164" fontId="0" fillId="8" borderId="1" xfId="1" applyNumberFormat="1" applyFont="1" applyFill="1" applyBorder="1"/>
    <xf numFmtId="168" fontId="0" fillId="8" borderId="3" xfId="0" applyNumberFormat="1" applyFill="1" applyBorder="1"/>
    <xf numFmtId="165" fontId="0" fillId="8" borderId="1" xfId="0" applyNumberFormat="1" applyFill="1" applyBorder="1"/>
    <xf numFmtId="8" fontId="0" fillId="8" borderId="0" xfId="0" applyNumberFormat="1" applyFill="1"/>
    <xf numFmtId="3" fontId="0" fillId="8" borderId="0" xfId="0" applyNumberFormat="1" applyFill="1"/>
    <xf numFmtId="0" fontId="7" fillId="8" borderId="0" xfId="0" applyFont="1" applyFill="1"/>
    <xf numFmtId="0" fontId="3" fillId="8" borderId="0" xfId="0" applyFont="1" applyFill="1"/>
    <xf numFmtId="0" fontId="18" fillId="17" borderId="2" xfId="0" applyFont="1" applyFill="1" applyBorder="1"/>
    <xf numFmtId="0" fontId="4" fillId="8" borderId="5" xfId="0" quotePrefix="1" applyFont="1" applyFill="1" applyBorder="1" applyAlignment="1">
      <alignment horizontal="center"/>
    </xf>
    <xf numFmtId="0" fontId="4" fillId="8" borderId="5" xfId="0" quotePrefix="1" applyFont="1" applyFill="1" applyBorder="1"/>
    <xf numFmtId="15" fontId="2" fillId="8" borderId="2" xfId="0" applyNumberFormat="1" applyFont="1" applyFill="1" applyBorder="1"/>
    <xf numFmtId="15" fontId="2" fillId="8" borderId="3" xfId="0" applyNumberFormat="1" applyFont="1" applyFill="1" applyBorder="1"/>
    <xf numFmtId="0" fontId="4" fillId="8" borderId="5" xfId="0" applyFont="1" applyFill="1" applyBorder="1"/>
    <xf numFmtId="15" fontId="2" fillId="8" borderId="2" xfId="0" applyNumberFormat="1" applyFont="1" applyFill="1" applyBorder="1" applyAlignment="1">
      <alignment horizontal="right"/>
    </xf>
    <xf numFmtId="0" fontId="3" fillId="6" borderId="8" xfId="0" applyFont="1" applyFill="1" applyBorder="1" applyAlignment="1">
      <alignment horizontal="center"/>
    </xf>
    <xf numFmtId="0" fontId="3" fillId="6" borderId="9" xfId="0" applyFont="1" applyFill="1" applyBorder="1" applyAlignment="1">
      <alignment horizontal="center"/>
    </xf>
    <xf numFmtId="0" fontId="3" fillId="6" borderId="10" xfId="0" applyFont="1" applyFill="1" applyBorder="1" applyAlignment="1">
      <alignment horizontal="center"/>
    </xf>
    <xf numFmtId="0" fontId="3" fillId="7" borderId="0" xfId="0" applyFont="1" applyFill="1" applyAlignment="1">
      <alignment horizontal="center"/>
    </xf>
    <xf numFmtId="164" fontId="4" fillId="0" borderId="0" xfId="1" applyNumberFormat="1" applyFont="1" applyBorder="1" applyAlignment="1">
      <alignment horizontal="center"/>
    </xf>
    <xf numFmtId="164" fontId="4" fillId="0" borderId="11" xfId="1" applyNumberFormat="1" applyFont="1" applyBorder="1" applyAlignment="1">
      <alignment horizontal="center"/>
    </xf>
    <xf numFmtId="164" fontId="4" fillId="0" borderId="9" xfId="1" applyNumberFormat="1" applyFont="1" applyBorder="1" applyAlignment="1">
      <alignment horizontal="center"/>
    </xf>
    <xf numFmtId="164" fontId="4" fillId="0" borderId="10" xfId="1" applyNumberFormat="1" applyFont="1" applyBorder="1" applyAlignment="1">
      <alignment horizontal="center"/>
    </xf>
    <xf numFmtId="0" fontId="3" fillId="5" borderId="8" xfId="0" applyFont="1" applyFill="1" applyBorder="1" applyAlignment="1">
      <alignment horizontal="center"/>
    </xf>
    <xf numFmtId="0" fontId="3" fillId="5" borderId="9" xfId="0" applyFont="1" applyFill="1" applyBorder="1" applyAlignment="1">
      <alignment horizontal="center"/>
    </xf>
    <xf numFmtId="0" fontId="3" fillId="5" borderId="10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13" fillId="14" borderId="7" xfId="0" applyFont="1" applyFill="1" applyBorder="1" applyAlignment="1">
      <alignment horizontal="center"/>
    </xf>
    <xf numFmtId="0" fontId="13" fillId="14" borderId="11" xfId="0" applyFont="1" applyFill="1" applyBorder="1" applyAlignment="1">
      <alignment horizontal="center"/>
    </xf>
    <xf numFmtId="0" fontId="15" fillId="13" borderId="9" xfId="0" applyFont="1" applyFill="1" applyBorder="1" applyAlignment="1">
      <alignment horizontal="center" vertical="center"/>
    </xf>
    <xf numFmtId="0" fontId="15" fillId="13" borderId="12" xfId="0" applyFont="1" applyFill="1" applyBorder="1" applyAlignment="1">
      <alignment horizontal="center" vertical="center"/>
    </xf>
  </cellXfs>
  <cellStyles count="4">
    <cellStyle name="Comma" xfId="3" builtinId="3"/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12506C"/>
      <color rgb="FFF4FBFE"/>
      <color rgb="FFE9F7FD"/>
      <color rgb="FFE7F7E1"/>
      <color rgb="FF002E8A"/>
      <color rgb="FF0E3D52"/>
      <color rgb="FF001C54"/>
      <color rgb="FF004DE6"/>
      <color rgb="FF0036A2"/>
      <color rgb="FF0055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 sz="1200"/>
              <a:t>Numbat ebikes</a:t>
            </a:r>
            <a:r>
              <a:rPr lang="en-AU" sz="1200" baseline="0"/>
              <a:t> </a:t>
            </a:r>
            <a:r>
              <a:rPr lang="en-AU" sz="1200"/>
              <a:t>sales &amp; EBITDA</a:t>
            </a:r>
          </a:p>
          <a:p>
            <a:pPr>
              <a:defRPr/>
            </a:pPr>
            <a:r>
              <a:rPr lang="en-AU" sz="1200"/>
              <a:t>- past 4 financial</a:t>
            </a:r>
            <a:r>
              <a:rPr lang="en-AU" sz="1200" baseline="0"/>
              <a:t> years</a:t>
            </a:r>
            <a:endParaRPr lang="en-AU" sz="1200"/>
          </a:p>
        </c:rich>
      </c:tx>
      <c:overlay val="0"/>
      <c:spPr>
        <a:solidFill>
          <a:schemeClr val="accent1">
            <a:lumMod val="40000"/>
            <a:lumOff val="60000"/>
            <a:alpha val="19000"/>
          </a:schemeClr>
        </a:solidFill>
        <a:ln>
          <a:solidFill>
            <a:schemeClr val="tx2">
              <a:lumMod val="50000"/>
              <a:lumOff val="50000"/>
            </a:schemeClr>
          </a:solidFill>
        </a:ln>
        <a:effectLst>
          <a:outerShdw blurRad="50800" dist="38100" dir="2700000" algn="tl" rotWithShape="0">
            <a:schemeClr val="tx1">
              <a:lumMod val="75000"/>
              <a:lumOff val="25000"/>
              <a:alpha val="40000"/>
            </a:schemeClr>
          </a:outerShdw>
        </a:effectLst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8712147994487704"/>
          <c:y val="0.1453900709219858"/>
          <c:w val="0.78232285899327525"/>
          <c:h val="0.77263025632434246"/>
        </c:manualLayout>
      </c:layout>
      <c:lineChart>
        <c:grouping val="standard"/>
        <c:varyColors val="0"/>
        <c:ser>
          <c:idx val="0"/>
          <c:order val="0"/>
          <c:tx>
            <c:strRef>
              <c:f>'P&amp;L'!$B$6</c:f>
              <c:strCache>
                <c:ptCount val="1"/>
                <c:pt idx="0">
                  <c:v>Sales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6.3645888013998245E-2"/>
                  <c:y val="3.900709219858156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B10-4C02-9951-F5D2B3992DCC}"/>
                </c:ext>
              </c:extLst>
            </c:dLbl>
            <c:dLbl>
              <c:idx val="1"/>
              <c:layout>
                <c:manualLayout>
                  <c:x val="-4.4201443569553911E-2"/>
                  <c:y val="2.83687943262411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B10-4C02-9951-F5D2B3992DCC}"/>
                </c:ext>
              </c:extLst>
            </c:dLbl>
            <c:dLbl>
              <c:idx val="2"/>
              <c:layout>
                <c:manualLayout>
                  <c:x val="-5.8090332458442799E-2"/>
                  <c:y val="4.255319148936170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B10-4C02-9951-F5D2B3992DCC}"/>
                </c:ext>
              </c:extLst>
            </c:dLbl>
            <c:dLbl>
              <c:idx val="3"/>
              <c:layout>
                <c:manualLayout>
                  <c:x val="-0.11364588801399836"/>
                  <c:y val="1.06382978723403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B10-4C02-9951-F5D2B3992DC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'P&amp;L'!$C$4:$F$4</c:f>
              <c:strCache>
                <c:ptCount val="4"/>
                <c:pt idx="0">
                  <c:v> 2023-24 </c:v>
                </c:pt>
                <c:pt idx="1">
                  <c:v>2022-23</c:v>
                </c:pt>
                <c:pt idx="2">
                  <c:v>2021-22</c:v>
                </c:pt>
                <c:pt idx="3">
                  <c:v>2020-21</c:v>
                </c:pt>
              </c:strCache>
            </c:strRef>
          </c:cat>
          <c:val>
            <c:numRef>
              <c:f>'P&amp;L'!$C$6:$F$6</c:f>
              <c:numCache>
                <c:formatCode>_-"$"* #,##0_-;\-"$"* #,##0_-;_-"$"* "-"??_-;_-@_-</c:formatCode>
                <c:ptCount val="4"/>
                <c:pt idx="0">
                  <c:v>7771.4748105440021</c:v>
                </c:pt>
                <c:pt idx="1">
                  <c:v>7197.4471033000009</c:v>
                </c:pt>
                <c:pt idx="2">
                  <c:v>7678.8326528571424</c:v>
                </c:pt>
                <c:pt idx="3">
                  <c:v>6743.7640000000001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B10-4C02-9951-F5D2B3992DCC}"/>
            </c:ext>
          </c:extLst>
        </c:ser>
        <c:ser>
          <c:idx val="1"/>
          <c:order val="1"/>
          <c:tx>
            <c:strRef>
              <c:f>'P&amp;L'!$B$24</c:f>
              <c:strCache>
                <c:ptCount val="1"/>
                <c:pt idx="0">
                  <c:v>EBITDA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5.2534776902887138E-2"/>
                  <c:y val="3.54609929078012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B10-4C02-9951-F5D2B3992DCC}"/>
                </c:ext>
              </c:extLst>
            </c:dLbl>
            <c:dLbl>
              <c:idx val="1"/>
              <c:layout>
                <c:manualLayout>
                  <c:x val="-6.0868110236220525E-2"/>
                  <c:y val="3.90070921985814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B10-4C02-9951-F5D2B3992DCC}"/>
                </c:ext>
              </c:extLst>
            </c:dLbl>
            <c:dLbl>
              <c:idx val="2"/>
              <c:layout>
                <c:manualLayout>
                  <c:x val="-6.086811023622047E-2"/>
                  <c:y val="3.546099290780142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B10-4C02-9951-F5D2B3992DCC}"/>
                </c:ext>
              </c:extLst>
            </c:dLbl>
            <c:dLbl>
              <c:idx val="3"/>
              <c:layout>
                <c:manualLayout>
                  <c:x val="-6.0868110236220574E-2"/>
                  <c:y val="4.255319148936170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B10-4C02-9951-F5D2B3992DC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'P&amp;L'!$C$24:$F$24</c:f>
              <c:numCache>
                <c:formatCode>_-"$"* #,##0_-;\-"$"* #,##0_-;_-"$"* "-"??_-;_-@_-</c:formatCode>
                <c:ptCount val="4"/>
                <c:pt idx="0">
                  <c:v>1360.5802140033597</c:v>
                </c:pt>
                <c:pt idx="1">
                  <c:v>1327.4894206600004</c:v>
                </c:pt>
                <c:pt idx="2">
                  <c:v>742.67159181428599</c:v>
                </c:pt>
                <c:pt idx="3">
                  <c:v>1250.7528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B10-4C02-9951-F5D2B3992DCC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29655007"/>
        <c:axId val="129655487"/>
      </c:lineChart>
      <c:catAx>
        <c:axId val="129655007"/>
        <c:scaling>
          <c:orientation val="minMax"/>
        </c:scaling>
        <c:delete val="0"/>
        <c:axPos val="b"/>
        <c:title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9655487"/>
        <c:crosses val="autoZero"/>
        <c:auto val="1"/>
        <c:lblAlgn val="ctr"/>
        <c:lblOffset val="100"/>
        <c:noMultiLvlLbl val="0"/>
      </c:catAx>
      <c:valAx>
        <c:axId val="12965548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$'000's</a:t>
                </a:r>
              </a:p>
            </c:rich>
          </c:tx>
          <c:layout>
            <c:manualLayout>
              <c:xMode val="edge"/>
              <c:yMode val="edge"/>
              <c:x val="1.2664455904050955E-2"/>
              <c:y val="0.4727548960226125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-&quot;$&quot;* #,##0_-;\-&quot;$&quot;* #,##0_-;_-&quot;$&quot;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965500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50000"/>
          <a:lumOff val="50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Relationship Id="rId4" Type="http://schemas.openxmlformats.org/officeDocument/2006/relationships/image" Target="../media/image6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95249</xdr:colOff>
      <xdr:row>25</xdr:row>
      <xdr:rowOff>0</xdr:rowOff>
    </xdr:from>
    <xdr:to>
      <xdr:col>11</xdr:col>
      <xdr:colOff>476250</xdr:colOff>
      <xdr:row>39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A62C127A-BF3D-69F7-9178-C43BF71F905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114301</xdr:colOff>
      <xdr:row>2</xdr:row>
      <xdr:rowOff>66676</xdr:rowOff>
    </xdr:from>
    <xdr:to>
      <xdr:col>1</xdr:col>
      <xdr:colOff>1638301</xdr:colOff>
      <xdr:row>4</xdr:row>
      <xdr:rowOff>86729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9300B6DB-BDD2-869F-6B3C-C37F2392687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801" t="47006" r="11389" b="31991"/>
        <a:stretch>
          <a:fillRect/>
        </a:stretch>
      </xdr:blipFill>
      <xdr:spPr>
        <a:xfrm>
          <a:off x="276226" y="447676"/>
          <a:ext cx="1524000" cy="401053"/>
        </a:xfrm>
        <a:prstGeom prst="rect">
          <a:avLst/>
        </a:prstGeom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0.01748</cdr:x>
      <cdr:y>0.02028</cdr:y>
    </cdr:from>
    <cdr:to>
      <cdr:x>0.17259</cdr:x>
      <cdr:y>0.112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9300B6DB-BDD2-869F-6B3C-C37F23926870}"/>
            </a:ext>
          </a:extLst>
        </cdr:cNvPr>
        <cdr:cNvPicPr>
          <a:picLocks xmlns:a="http://schemas.openxmlformats.org/drawingml/2006/main" noChangeAspect="1"/>
        </cdr:cNvPicPr>
      </cdr:nvPicPr>
      <cdr:blipFill rotWithShape="1"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 l="8801" t="47006" r="11389" b="31991"/>
        <a:stretch xmlns:a="http://schemas.openxmlformats.org/drawingml/2006/main">
          <a:fillRect/>
        </a:stretch>
      </cdr:blipFill>
      <cdr:spPr>
        <a:xfrm xmlns:a="http://schemas.openxmlformats.org/drawingml/2006/main">
          <a:off x="98425" y="50801"/>
          <a:ext cx="873126" cy="229770"/>
        </a:xfrm>
        <a:prstGeom xmlns:a="http://schemas.openxmlformats.org/drawingml/2006/main" prst="rect">
          <a:avLst/>
        </a:prstGeom>
      </cdr:spPr>
    </cdr:pic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123826</xdr:colOff>
      <xdr:row>2</xdr:row>
      <xdr:rowOff>47624</xdr:rowOff>
    </xdr:from>
    <xdr:to>
      <xdr:col>14</xdr:col>
      <xdr:colOff>237443</xdr:colOff>
      <xdr:row>7</xdr:row>
      <xdr:rowOff>38100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BF9F974-1C15-1175-D163-42018D2B1B1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4341" t="9713" r="5573" b="10072"/>
        <a:stretch/>
      </xdr:blipFill>
      <xdr:spPr>
        <a:xfrm>
          <a:off x="7648576" y="428624"/>
          <a:ext cx="723217" cy="971551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22</xdr:row>
      <xdr:rowOff>19050</xdr:rowOff>
    </xdr:from>
    <xdr:to>
      <xdr:col>8</xdr:col>
      <xdr:colOff>321710</xdr:colOff>
      <xdr:row>23</xdr:row>
      <xdr:rowOff>114300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911B119A-49B1-46DC-84FA-341739D9BB6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0273" t="9713" r="5573" b="40743"/>
        <a:stretch/>
      </xdr:blipFill>
      <xdr:spPr>
        <a:xfrm>
          <a:off x="4876800" y="4210050"/>
          <a:ext cx="321710" cy="285750"/>
        </a:xfrm>
        <a:prstGeom prst="rect">
          <a:avLst/>
        </a:prstGeom>
      </xdr:spPr>
    </xdr:pic>
    <xdr:clientData/>
  </xdr:twoCellAnchor>
  <xdr:twoCellAnchor editAs="oneCell">
    <xdr:from>
      <xdr:col>10</xdr:col>
      <xdr:colOff>390525</xdr:colOff>
      <xdr:row>4</xdr:row>
      <xdr:rowOff>9525</xdr:rowOff>
    </xdr:from>
    <xdr:to>
      <xdr:col>11</xdr:col>
      <xdr:colOff>102635</xdr:colOff>
      <xdr:row>5</xdr:row>
      <xdr:rowOff>95250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A881E1BF-DEB1-4C40-853A-CB6962B4E12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0273" t="9713" r="5573" b="40743"/>
        <a:stretch/>
      </xdr:blipFill>
      <xdr:spPr>
        <a:xfrm>
          <a:off x="6486525" y="771525"/>
          <a:ext cx="321710" cy="285750"/>
        </a:xfrm>
        <a:prstGeom prst="rect">
          <a:avLst/>
        </a:prstGeom>
      </xdr:spPr>
    </xdr:pic>
    <xdr:clientData/>
  </xdr:twoCellAnchor>
  <xdr:twoCellAnchor editAs="oneCell">
    <xdr:from>
      <xdr:col>13</xdr:col>
      <xdr:colOff>133351</xdr:colOff>
      <xdr:row>7</xdr:row>
      <xdr:rowOff>114299</xdr:rowOff>
    </xdr:from>
    <xdr:to>
      <xdr:col>14</xdr:col>
      <xdr:colOff>266700</xdr:colOff>
      <xdr:row>13</xdr:row>
      <xdr:rowOff>5785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703250F4-58EE-A6DC-64F6-55408FA9D7C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4624" t="7663" r="4046" b="8046"/>
        <a:stretch/>
      </xdr:blipFill>
      <xdr:spPr>
        <a:xfrm>
          <a:off x="7591426" y="1447799"/>
          <a:ext cx="742949" cy="1034486"/>
        </a:xfrm>
        <a:prstGeom prst="rect">
          <a:avLst/>
        </a:prstGeom>
      </xdr:spPr>
    </xdr:pic>
    <xdr:clientData/>
  </xdr:twoCellAnchor>
  <xdr:twoCellAnchor editAs="oneCell">
    <xdr:from>
      <xdr:col>10</xdr:col>
      <xdr:colOff>128501</xdr:colOff>
      <xdr:row>36</xdr:row>
      <xdr:rowOff>171450</xdr:rowOff>
    </xdr:from>
    <xdr:to>
      <xdr:col>10</xdr:col>
      <xdr:colOff>485775</xdr:colOff>
      <xdr:row>39</xdr:row>
      <xdr:rowOff>97420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DD88FE57-6540-47AA-8399-83BA6010EA2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4624" t="7663" r="4046" b="8046"/>
        <a:stretch/>
      </xdr:blipFill>
      <xdr:spPr>
        <a:xfrm>
          <a:off x="6291176" y="7086600"/>
          <a:ext cx="357274" cy="497470"/>
        </a:xfrm>
        <a:prstGeom prst="rect">
          <a:avLst/>
        </a:prstGeom>
      </xdr:spPr>
    </xdr:pic>
    <xdr:clientData/>
  </xdr:twoCellAnchor>
  <xdr:twoCellAnchor editAs="oneCell">
    <xdr:from>
      <xdr:col>3</xdr:col>
      <xdr:colOff>50067</xdr:colOff>
      <xdr:row>18</xdr:row>
      <xdr:rowOff>171450</xdr:rowOff>
    </xdr:from>
    <xdr:to>
      <xdr:col>3</xdr:col>
      <xdr:colOff>409575</xdr:colOff>
      <xdr:row>21</xdr:row>
      <xdr:rowOff>38100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3C33BCB0-FDDF-286E-8809-9D72F800E6C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14422" t="57806" r="68163" b="9282"/>
        <a:stretch/>
      </xdr:blipFill>
      <xdr:spPr>
        <a:xfrm>
          <a:off x="1945542" y="3629025"/>
          <a:ext cx="359508" cy="438150"/>
        </a:xfrm>
        <a:prstGeom prst="rect">
          <a:avLst/>
        </a:prstGeom>
      </xdr:spPr>
    </xdr:pic>
    <xdr:clientData/>
  </xdr:twoCellAnchor>
  <xdr:twoCellAnchor editAs="oneCell">
    <xdr:from>
      <xdr:col>3</xdr:col>
      <xdr:colOff>419100</xdr:colOff>
      <xdr:row>20</xdr:row>
      <xdr:rowOff>104775</xdr:rowOff>
    </xdr:from>
    <xdr:to>
      <xdr:col>4</xdr:col>
      <xdr:colOff>131210</xdr:colOff>
      <xdr:row>22</xdr:row>
      <xdr:rowOff>9525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77B8D135-9F25-4F6F-A306-A0B7FDEFECF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0273" t="9713" r="5573" b="40743"/>
        <a:stretch/>
      </xdr:blipFill>
      <xdr:spPr>
        <a:xfrm>
          <a:off x="2314575" y="3943350"/>
          <a:ext cx="321710" cy="285750"/>
        </a:xfrm>
        <a:prstGeom prst="rect">
          <a:avLst/>
        </a:prstGeom>
      </xdr:spPr>
    </xdr:pic>
    <xdr:clientData/>
  </xdr:twoCellAnchor>
  <xdr:twoCellAnchor editAs="oneCell">
    <xdr:from>
      <xdr:col>4</xdr:col>
      <xdr:colOff>180975</xdr:colOff>
      <xdr:row>18</xdr:row>
      <xdr:rowOff>174330</xdr:rowOff>
    </xdr:from>
    <xdr:to>
      <xdr:col>4</xdr:col>
      <xdr:colOff>581025</xdr:colOff>
      <xdr:row>21</xdr:row>
      <xdr:rowOff>85731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87439A92-14D7-8D48-FC98-C84BC3E69E9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/>
        <a:srcRect l="12313" t="3723" r="11567" b="6382"/>
        <a:stretch/>
      </xdr:blipFill>
      <xdr:spPr>
        <a:xfrm rot="5400000">
          <a:off x="2644624" y="3673331"/>
          <a:ext cx="482901" cy="4000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95250</xdr:colOff>
      <xdr:row>18</xdr:row>
      <xdr:rowOff>47625</xdr:rowOff>
    </xdr:from>
    <xdr:to>
      <xdr:col>9</xdr:col>
      <xdr:colOff>1143000</xdr:colOff>
      <xdr:row>31</xdr:row>
      <xdr:rowOff>76200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73664F2-C113-D164-F4F1-5040710D1D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48300" y="3390900"/>
          <a:ext cx="2381250" cy="2381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C715F3-DBF8-4D0F-A746-A12A9B45F529}">
  <sheetPr>
    <pageSetUpPr fitToPage="1"/>
  </sheetPr>
  <dimension ref="B2:L39"/>
  <sheetViews>
    <sheetView tabSelected="1" workbookViewId="0">
      <selection activeCell="C12" sqref="C12"/>
    </sheetView>
  </sheetViews>
  <sheetFormatPr defaultRowHeight="15" x14ac:dyDescent="0.25"/>
  <cols>
    <col min="1" max="1" width="2.42578125" customWidth="1"/>
    <col min="2" max="2" width="33" customWidth="1"/>
    <col min="3" max="3" width="10.5703125" style="1" bestFit="1" customWidth="1"/>
    <col min="8" max="8" width="31.42578125" customWidth="1"/>
    <col min="9" max="9" width="14.28515625" bestFit="1" customWidth="1"/>
    <col min="10" max="10" width="12" customWidth="1"/>
    <col min="11" max="11" width="11.85546875" customWidth="1"/>
    <col min="12" max="12" width="11.28515625" customWidth="1"/>
  </cols>
  <sheetData>
    <row r="2" spans="2:12" x14ac:dyDescent="0.25">
      <c r="B2" s="199" t="s">
        <v>142</v>
      </c>
      <c r="C2" s="200"/>
      <c r="D2" s="200"/>
      <c r="E2" s="200"/>
      <c r="F2" s="201"/>
      <c r="H2" s="41" t="s">
        <v>75</v>
      </c>
      <c r="I2" s="205" t="s">
        <v>3</v>
      </c>
      <c r="J2" s="205"/>
      <c r="K2" s="205"/>
      <c r="L2" s="206"/>
    </row>
    <row r="3" spans="2:12" x14ac:dyDescent="0.25">
      <c r="B3" s="11"/>
      <c r="C3" s="203" t="s">
        <v>3</v>
      </c>
      <c r="D3" s="203"/>
      <c r="E3" s="203"/>
      <c r="F3" s="204"/>
      <c r="H3" s="11"/>
      <c r="I3" s="35" t="s">
        <v>4</v>
      </c>
      <c r="J3" s="42" t="s">
        <v>5</v>
      </c>
      <c r="K3" s="42" t="s">
        <v>6</v>
      </c>
      <c r="L3" s="43" t="s">
        <v>7</v>
      </c>
    </row>
    <row r="4" spans="2:12" x14ac:dyDescent="0.25">
      <c r="B4" s="15"/>
      <c r="C4" s="35" t="s">
        <v>4</v>
      </c>
      <c r="D4" s="42" t="s">
        <v>5</v>
      </c>
      <c r="E4" s="42" t="s">
        <v>6</v>
      </c>
      <c r="F4" s="43" t="s">
        <v>7</v>
      </c>
      <c r="H4" s="33" t="s">
        <v>76</v>
      </c>
      <c r="I4" s="36">
        <f>J4*1.12</f>
        <v>5995.0642080000016</v>
      </c>
      <c r="J4" s="36">
        <f>K4*0.93</f>
        <v>5352.7359000000006</v>
      </c>
      <c r="K4" s="36">
        <f>L4*1.115</f>
        <v>5755.63</v>
      </c>
      <c r="L4" s="37">
        <v>5162</v>
      </c>
    </row>
    <row r="5" spans="2:12" x14ac:dyDescent="0.25">
      <c r="B5" s="15"/>
      <c r="C5" s="44" t="s">
        <v>27</v>
      </c>
      <c r="D5" s="44" t="s">
        <v>27</v>
      </c>
      <c r="E5" s="44" t="s">
        <v>27</v>
      </c>
      <c r="F5" s="45" t="s">
        <v>27</v>
      </c>
      <c r="H5" s="38" t="s">
        <v>77</v>
      </c>
      <c r="I5" s="7">
        <v>1243</v>
      </c>
      <c r="J5" s="7">
        <v>1287</v>
      </c>
      <c r="K5" s="7">
        <v>1283</v>
      </c>
      <c r="L5" s="12">
        <v>1260</v>
      </c>
    </row>
    <row r="6" spans="2:12" x14ac:dyDescent="0.25">
      <c r="B6" s="11" t="s">
        <v>0</v>
      </c>
      <c r="C6" s="7">
        <f>I12/1000</f>
        <v>7771.4748105440021</v>
      </c>
      <c r="D6" s="7">
        <f>J12/1000</f>
        <v>7197.4471033000009</v>
      </c>
      <c r="E6" s="7">
        <f t="shared" ref="E6:F6" si="0">K12/1000</f>
        <v>7678.8326528571424</v>
      </c>
      <c r="F6" s="7">
        <f t="shared" si="0"/>
        <v>6743.7640000000001</v>
      </c>
      <c r="H6" s="10" t="s">
        <v>78</v>
      </c>
      <c r="I6" s="39">
        <f>I4*I5</f>
        <v>7451864.8105440019</v>
      </c>
      <c r="J6" s="39">
        <f t="shared" ref="J6:L6" si="1">J4*J5</f>
        <v>6888971.1033000005</v>
      </c>
      <c r="K6" s="39">
        <f t="shared" si="1"/>
        <v>7384473.29</v>
      </c>
      <c r="L6" s="40">
        <f t="shared" si="1"/>
        <v>6504120</v>
      </c>
    </row>
    <row r="7" spans="2:12" x14ac:dyDescent="0.25">
      <c r="B7" s="11" t="s">
        <v>1</v>
      </c>
      <c r="C7" s="7">
        <f>C6*0.55</f>
        <v>4274.3111457992018</v>
      </c>
      <c r="D7" s="7">
        <f>D6*0.52</f>
        <v>3742.6724937160006</v>
      </c>
      <c r="E7" s="7">
        <f>E6*0.62</f>
        <v>4760.876244771428</v>
      </c>
      <c r="F7" s="12">
        <f>F6*0.51</f>
        <v>3439.3196400000002</v>
      </c>
      <c r="H7" s="11"/>
      <c r="L7" s="25"/>
    </row>
    <row r="8" spans="2:12" x14ac:dyDescent="0.25">
      <c r="B8" s="17" t="s">
        <v>2</v>
      </c>
      <c r="C8" s="16">
        <f>C6-C7</f>
        <v>3497.1636647448004</v>
      </c>
      <c r="D8" s="16">
        <f>D6-D7</f>
        <v>3454.7746095840002</v>
      </c>
      <c r="E8" s="16">
        <f>E6-E7</f>
        <v>2917.9564080857144</v>
      </c>
      <c r="F8" s="18">
        <f>F6-F7</f>
        <v>3304.44436</v>
      </c>
      <c r="H8" s="47" t="s">
        <v>80</v>
      </c>
      <c r="I8" s="48">
        <v>1031</v>
      </c>
      <c r="J8" s="48">
        <v>958</v>
      </c>
      <c r="K8" s="48">
        <f t="shared" ref="K8" si="2">K4/7</f>
        <v>822.23285714285714</v>
      </c>
      <c r="L8" s="49">
        <v>724</v>
      </c>
    </row>
    <row r="9" spans="2:12" ht="15" customHeight="1" x14ac:dyDescent="0.25">
      <c r="B9" s="11"/>
      <c r="C9" s="7"/>
      <c r="D9" s="7"/>
      <c r="E9" s="7"/>
      <c r="F9" s="12"/>
      <c r="H9" s="11" t="s">
        <v>81</v>
      </c>
      <c r="I9">
        <v>310</v>
      </c>
      <c r="J9">
        <v>322</v>
      </c>
      <c r="K9">
        <v>358</v>
      </c>
      <c r="L9" s="25">
        <v>331</v>
      </c>
    </row>
    <row r="10" spans="2:12" x14ac:dyDescent="0.25">
      <c r="B10" s="11" t="s">
        <v>8</v>
      </c>
      <c r="C10" s="7"/>
      <c r="D10" s="7"/>
      <c r="E10" s="7"/>
      <c r="F10" s="12"/>
      <c r="H10" s="10" t="s">
        <v>107</v>
      </c>
      <c r="I10" s="39">
        <f t="shared" ref="I10:K10" si="3">I8*I9</f>
        <v>319610</v>
      </c>
      <c r="J10" s="39">
        <f t="shared" si="3"/>
        <v>308476</v>
      </c>
      <c r="K10" s="39">
        <f t="shared" si="3"/>
        <v>294359.36285714287</v>
      </c>
      <c r="L10" s="40">
        <f>L8*L9</f>
        <v>239644</v>
      </c>
    </row>
    <row r="11" spans="2:12" x14ac:dyDescent="0.25">
      <c r="B11" s="11" t="s">
        <v>9</v>
      </c>
      <c r="C11" s="7">
        <f>C6*0.15</f>
        <v>1165.7212215816003</v>
      </c>
      <c r="D11" s="7">
        <f>D6*0.16</f>
        <v>1151.5915365280002</v>
      </c>
      <c r="E11" s="7">
        <f>E6*0.14</f>
        <v>1075.0365714</v>
      </c>
      <c r="F11" s="12">
        <f>F6*0.16</f>
        <v>1079.00224</v>
      </c>
      <c r="H11" s="11"/>
      <c r="L11" s="25"/>
    </row>
    <row r="12" spans="2:12" x14ac:dyDescent="0.25">
      <c r="B12" s="11" t="s">
        <v>12</v>
      </c>
      <c r="C12" s="7">
        <f>C6*0.11</f>
        <v>854.86222915984024</v>
      </c>
      <c r="D12" s="7">
        <f>D6*0.12</f>
        <v>863.69365239600006</v>
      </c>
      <c r="E12" s="7">
        <f>E6*0.13</f>
        <v>998.2482448714286</v>
      </c>
      <c r="F12" s="12">
        <f>F6*0.13</f>
        <v>876.68932000000007</v>
      </c>
      <c r="H12" s="50" t="s">
        <v>82</v>
      </c>
      <c r="I12" s="51">
        <f>I6+I10</f>
        <v>7771474.8105440019</v>
      </c>
      <c r="J12" s="51">
        <f t="shared" ref="J12:L12" si="4">J6+J10</f>
        <v>7197447.1033000005</v>
      </c>
      <c r="K12" s="51">
        <f t="shared" si="4"/>
        <v>7678832.6528571425</v>
      </c>
      <c r="L12" s="52">
        <f t="shared" si="4"/>
        <v>6743764</v>
      </c>
    </row>
    <row r="13" spans="2:12" x14ac:dyDescent="0.25">
      <c r="B13" s="11" t="s">
        <v>79</v>
      </c>
      <c r="C13" s="7">
        <v>116</v>
      </c>
      <c r="D13" s="7">
        <v>112</v>
      </c>
      <c r="E13" s="7">
        <v>102</v>
      </c>
      <c r="F13" s="12">
        <v>98</v>
      </c>
    </row>
    <row r="14" spans="2:12" x14ac:dyDescent="0.25">
      <c r="B14" s="11" t="s">
        <v>10</v>
      </c>
      <c r="C14" s="7">
        <f>'Balance Sheet'!H12*0.11</f>
        <v>107.8</v>
      </c>
      <c r="D14" s="7">
        <v>101</v>
      </c>
      <c r="E14" s="7">
        <v>98</v>
      </c>
      <c r="F14" s="12">
        <v>94</v>
      </c>
      <c r="I14" s="35" t="s">
        <v>4</v>
      </c>
      <c r="J14" s="42" t="s">
        <v>5</v>
      </c>
      <c r="K14" s="42" t="s">
        <v>6</v>
      </c>
      <c r="L14" s="43" t="s">
        <v>7</v>
      </c>
    </row>
    <row r="15" spans="2:12" x14ac:dyDescent="0.25">
      <c r="B15" s="11" t="s">
        <v>11</v>
      </c>
      <c r="C15" s="7">
        <f>'Balance Sheet'!D16/7</f>
        <v>177.57142857142858</v>
      </c>
      <c r="D15" s="7">
        <f>C15+2</f>
        <v>179.57142857142858</v>
      </c>
      <c r="E15" s="7">
        <f>D15-7</f>
        <v>172.57142857142858</v>
      </c>
      <c r="F15" s="12">
        <f>E15-4</f>
        <v>168.57142857142858</v>
      </c>
      <c r="H15" s="60" t="s">
        <v>92</v>
      </c>
      <c r="I15" s="44" t="s">
        <v>27</v>
      </c>
      <c r="J15" s="44" t="s">
        <v>27</v>
      </c>
      <c r="K15" s="44" t="s">
        <v>27</v>
      </c>
      <c r="L15" s="45" t="s">
        <v>27</v>
      </c>
    </row>
    <row r="16" spans="2:12" x14ac:dyDescent="0.25">
      <c r="B16" s="11" t="s">
        <v>24</v>
      </c>
      <c r="C16" s="7">
        <f>SUM(C11:C15)</f>
        <v>2421.9548793128693</v>
      </c>
      <c r="D16" s="7">
        <f>SUM(D11:D15)</f>
        <v>2407.8566174954285</v>
      </c>
      <c r="E16" s="7">
        <f>SUM(E11:E15)</f>
        <v>2445.856244842857</v>
      </c>
      <c r="F16" s="12">
        <f>SUM(F11:F15)</f>
        <v>2316.2629885714287</v>
      </c>
      <c r="H16" t="s">
        <v>93</v>
      </c>
      <c r="I16">
        <v>680</v>
      </c>
      <c r="J16">
        <v>695</v>
      </c>
      <c r="K16">
        <v>661</v>
      </c>
      <c r="L16">
        <v>654</v>
      </c>
    </row>
    <row r="17" spans="2:12" ht="15" customHeight="1" x14ac:dyDescent="0.25">
      <c r="B17" s="11"/>
      <c r="C17" s="7"/>
      <c r="D17" s="7"/>
      <c r="E17" s="7"/>
      <c r="F17" s="12"/>
      <c r="H17" t="s">
        <v>94</v>
      </c>
      <c r="I17" s="61">
        <f>I19+I16-I18</f>
        <v>3166.3111457992018</v>
      </c>
      <c r="J17" s="61">
        <f t="shared" ref="J17:L17" si="5">J19+J16-J18</f>
        <v>2748.6724937160006</v>
      </c>
      <c r="K17" s="61">
        <f t="shared" si="5"/>
        <v>3632.876244771428</v>
      </c>
      <c r="L17" s="61">
        <f t="shared" si="5"/>
        <v>2550.3196400000002</v>
      </c>
    </row>
    <row r="18" spans="2:12" x14ac:dyDescent="0.25">
      <c r="B18" s="11" t="s">
        <v>25</v>
      </c>
      <c r="C18" s="7">
        <f>C8-C16</f>
        <v>1075.2087854319311</v>
      </c>
      <c r="D18" s="7">
        <f>D8-D16</f>
        <v>1046.9179920885717</v>
      </c>
      <c r="E18" s="7">
        <f>E8-E16</f>
        <v>472.10016324285743</v>
      </c>
      <c r="F18" s="12">
        <f>F8-F16</f>
        <v>988.18137142857131</v>
      </c>
      <c r="H18" t="s">
        <v>95</v>
      </c>
      <c r="I18">
        <v>710</v>
      </c>
      <c r="J18">
        <v>680</v>
      </c>
      <c r="K18">
        <v>695</v>
      </c>
      <c r="L18">
        <v>661</v>
      </c>
    </row>
    <row r="19" spans="2:12" x14ac:dyDescent="0.25">
      <c r="B19" s="11" t="s">
        <v>51</v>
      </c>
      <c r="C19" s="7">
        <f>C18*0.25</f>
        <v>268.80219635798278</v>
      </c>
      <c r="D19" s="7">
        <f>D18*0.25</f>
        <v>261.72949802214293</v>
      </c>
      <c r="E19" s="7">
        <f>E18*0.25</f>
        <v>118.02504081071436</v>
      </c>
      <c r="F19" s="12">
        <f>F18*0.25</f>
        <v>247.04534285714283</v>
      </c>
      <c r="H19" t="s">
        <v>97</v>
      </c>
      <c r="I19" s="1">
        <f>C7-I20-I21</f>
        <v>3196.3111457992018</v>
      </c>
      <c r="J19" s="1">
        <f t="shared" ref="J19:L19" si="6">D7-J20-J21</f>
        <v>2733.6724937160006</v>
      </c>
      <c r="K19" s="1">
        <f t="shared" si="6"/>
        <v>3666.876244771428</v>
      </c>
      <c r="L19" s="1">
        <f t="shared" si="6"/>
        <v>2557.3196400000002</v>
      </c>
    </row>
    <row r="20" spans="2:12" x14ac:dyDescent="0.25">
      <c r="B20" s="17" t="s">
        <v>26</v>
      </c>
      <c r="C20" s="16">
        <f>C18-C19</f>
        <v>806.40658907394834</v>
      </c>
      <c r="D20" s="16">
        <f>D18-D19</f>
        <v>785.1884940664288</v>
      </c>
      <c r="E20" s="16">
        <f>E18-E19</f>
        <v>354.07512243214308</v>
      </c>
      <c r="F20" s="18">
        <f>F18-F19</f>
        <v>741.13602857142848</v>
      </c>
      <c r="H20" s="59" t="s">
        <v>98</v>
      </c>
      <c r="I20">
        <f>12*80</f>
        <v>960</v>
      </c>
      <c r="J20">
        <f>11*81</f>
        <v>891</v>
      </c>
      <c r="K20">
        <f>12*82</f>
        <v>984</v>
      </c>
      <c r="L20">
        <f>10*77.2</f>
        <v>772</v>
      </c>
    </row>
    <row r="21" spans="2:12" ht="15" customHeight="1" x14ac:dyDescent="0.25">
      <c r="B21" s="11"/>
      <c r="C21" s="7"/>
      <c r="D21" s="7"/>
      <c r="E21" s="7"/>
      <c r="F21" s="12"/>
      <c r="H21" t="s">
        <v>96</v>
      </c>
      <c r="I21">
        <v>118</v>
      </c>
      <c r="J21">
        <v>118</v>
      </c>
      <c r="K21">
        <v>110</v>
      </c>
      <c r="L21">
        <v>110</v>
      </c>
    </row>
    <row r="22" spans="2:12" x14ac:dyDescent="0.25">
      <c r="B22" s="11" t="s">
        <v>28</v>
      </c>
      <c r="C22" s="13">
        <f>C20/C6</f>
        <v>0.10376493635157263</v>
      </c>
      <c r="D22" s="13">
        <f>D20/D6</f>
        <v>0.10909263837540717</v>
      </c>
      <c r="E22" s="13">
        <f>E20/E6</f>
        <v>4.611054029161564E-2</v>
      </c>
      <c r="F22" s="14">
        <f>F20/F6</f>
        <v>0.10989946097927336</v>
      </c>
      <c r="H22" t="s">
        <v>99</v>
      </c>
      <c r="I22" s="61">
        <f>C7*0.9</f>
        <v>3846.8800312192816</v>
      </c>
      <c r="J22" s="61">
        <f t="shared" ref="J22:L22" si="7">D7*0.9</f>
        <v>3368.4052443444007</v>
      </c>
      <c r="K22" s="61">
        <f t="shared" si="7"/>
        <v>4284.7886202942855</v>
      </c>
      <c r="L22" s="61">
        <f t="shared" si="7"/>
        <v>3095.3876760000003</v>
      </c>
    </row>
    <row r="23" spans="2:12" x14ac:dyDescent="0.25">
      <c r="B23" s="11" t="s">
        <v>48</v>
      </c>
      <c r="C23" s="13">
        <f>C8/C6</f>
        <v>0.4499999999999999</v>
      </c>
      <c r="D23" s="13">
        <f>D8/D6</f>
        <v>0.48</v>
      </c>
      <c r="E23" s="13">
        <f>E8/E6</f>
        <v>0.38000000000000006</v>
      </c>
      <c r="F23" s="14">
        <f>F8/F6</f>
        <v>0.49</v>
      </c>
    </row>
    <row r="24" spans="2:12" x14ac:dyDescent="0.25">
      <c r="B24" s="53" t="s">
        <v>50</v>
      </c>
      <c r="C24" s="54">
        <f>C18+C14+C15</f>
        <v>1360.5802140033597</v>
      </c>
      <c r="D24" s="54">
        <f>D18+D14+D15</f>
        <v>1327.4894206600004</v>
      </c>
      <c r="E24" s="54">
        <f>E18+E14+E15</f>
        <v>742.67159181428599</v>
      </c>
      <c r="F24" s="24">
        <f>F18+F14+F15</f>
        <v>1250.7528</v>
      </c>
      <c r="H24" t="s">
        <v>101</v>
      </c>
      <c r="I24" s="1">
        <f>I19/I4*1000</f>
        <v>533.15711640484915</v>
      </c>
      <c r="J24" s="1">
        <f t="shared" ref="J24:L24" si="8">J19/J4*1000</f>
        <v>510.70565497468323</v>
      </c>
      <c r="K24" s="1">
        <f t="shared" si="8"/>
        <v>637.09380984730228</v>
      </c>
      <c r="L24" s="1">
        <f t="shared" si="8"/>
        <v>495.41256102285939</v>
      </c>
    </row>
    <row r="25" spans="2:12" x14ac:dyDescent="0.25">
      <c r="H25" t="s">
        <v>100</v>
      </c>
      <c r="I25" s="1">
        <f>I20/I4*1000</f>
        <v>160.13172948488958</v>
      </c>
      <c r="J25" s="1">
        <f t="shared" ref="J25:L25" si="9">J20/J4*1000</f>
        <v>166.45693279954273</v>
      </c>
      <c r="K25" s="1">
        <f t="shared" si="9"/>
        <v>170.96303966724756</v>
      </c>
      <c r="L25" s="1">
        <f t="shared" si="9"/>
        <v>149.55443626501355</v>
      </c>
    </row>
    <row r="26" spans="2:12" x14ac:dyDescent="0.25">
      <c r="B26" s="202" t="s">
        <v>52</v>
      </c>
      <c r="C26" s="202"/>
      <c r="D26" s="202"/>
      <c r="E26" s="202"/>
    </row>
    <row r="27" spans="2:12" x14ac:dyDescent="0.25">
      <c r="B27" s="11"/>
      <c r="C27" s="35" t="s">
        <v>4</v>
      </c>
      <c r="D27" s="42" t="s">
        <v>5</v>
      </c>
      <c r="E27" s="43" t="s">
        <v>6</v>
      </c>
    </row>
    <row r="28" spans="2:12" x14ac:dyDescent="0.25">
      <c r="B28" s="11" t="s">
        <v>0</v>
      </c>
      <c r="C28" s="13">
        <f t="shared" ref="C28:E30" si="10">(C6-D6)/D6</f>
        <v>7.9754348869172209E-2</v>
      </c>
      <c r="D28" s="13">
        <f t="shared" si="10"/>
        <v>-6.2689938864343847E-2</v>
      </c>
      <c r="E28" s="14">
        <f t="shared" si="10"/>
        <v>0.13865678764220429</v>
      </c>
    </row>
    <row r="29" spans="2:12" x14ac:dyDescent="0.25">
      <c r="B29" s="11" t="s">
        <v>1</v>
      </c>
      <c r="C29" s="13">
        <f t="shared" si="10"/>
        <v>0.14204786899623995</v>
      </c>
      <c r="D29" s="13">
        <f t="shared" si="10"/>
        <v>-0.21386898098299797</v>
      </c>
      <c r="E29" s="14">
        <f t="shared" si="10"/>
        <v>0.38424942811405216</v>
      </c>
    </row>
    <row r="30" spans="2:12" x14ac:dyDescent="0.25">
      <c r="B30" s="11" t="s">
        <v>2</v>
      </c>
      <c r="C30" s="13">
        <f t="shared" si="10"/>
        <v>1.2269702064848832E-2</v>
      </c>
      <c r="D30" s="13">
        <f t="shared" si="10"/>
        <v>0.18397060353977601</v>
      </c>
      <c r="E30" s="14">
        <f t="shared" si="10"/>
        <v>-0.11696004223665776</v>
      </c>
    </row>
    <row r="31" spans="2:12" ht="7.5" customHeight="1" x14ac:dyDescent="0.25">
      <c r="B31" s="11"/>
      <c r="C31" s="13"/>
      <c r="D31" s="13"/>
      <c r="E31" s="14"/>
    </row>
    <row r="32" spans="2:12" x14ac:dyDescent="0.25">
      <c r="B32" s="11" t="s">
        <v>8</v>
      </c>
      <c r="C32" s="13"/>
      <c r="D32" s="13"/>
      <c r="E32" s="14"/>
      <c r="J32" s="3"/>
    </row>
    <row r="33" spans="2:5" x14ac:dyDescent="0.25">
      <c r="B33" s="11" t="s">
        <v>9</v>
      </c>
      <c r="C33" s="13">
        <f t="shared" ref="C33:E34" si="11">(C11-D11)/D11</f>
        <v>1.226970206484883E-2</v>
      </c>
      <c r="D33" s="13">
        <f t="shared" si="11"/>
        <v>7.1211498440749962E-2</v>
      </c>
      <c r="E33" s="14">
        <f t="shared" si="11"/>
        <v>-3.6753108130712238E-3</v>
      </c>
    </row>
    <row r="34" spans="2:5" x14ac:dyDescent="0.25">
      <c r="B34" s="11" t="s">
        <v>12</v>
      </c>
      <c r="C34" s="13">
        <f t="shared" si="11"/>
        <v>-1.0225180203258747E-2</v>
      </c>
      <c r="D34" s="13">
        <f t="shared" si="11"/>
        <v>-0.13479071279785598</v>
      </c>
      <c r="E34" s="14">
        <f t="shared" si="11"/>
        <v>0.13865678764220432</v>
      </c>
    </row>
    <row r="35" spans="2:5" x14ac:dyDescent="0.25">
      <c r="B35" s="11" t="s">
        <v>10</v>
      </c>
      <c r="C35" s="13">
        <f t="shared" ref="C35:E39" si="12">(C14-D14)/D14</f>
        <v>6.7326732673267303E-2</v>
      </c>
      <c r="D35" s="13">
        <f t="shared" si="12"/>
        <v>3.0612244897959183E-2</v>
      </c>
      <c r="E35" s="14">
        <f t="shared" si="12"/>
        <v>4.2553191489361701E-2</v>
      </c>
    </row>
    <row r="36" spans="2:5" x14ac:dyDescent="0.25">
      <c r="B36" s="11" t="s">
        <v>11</v>
      </c>
      <c r="C36" s="13">
        <f t="shared" si="12"/>
        <v>-1.1137629276054096E-2</v>
      </c>
      <c r="D36" s="13">
        <f t="shared" si="12"/>
        <v>4.0562913907284767E-2</v>
      </c>
      <c r="E36" s="14">
        <f t="shared" si="12"/>
        <v>2.3728813559322031E-2</v>
      </c>
    </row>
    <row r="37" spans="2:5" x14ac:dyDescent="0.25">
      <c r="B37" s="11" t="s">
        <v>24</v>
      </c>
      <c r="C37" s="13">
        <f t="shared" si="12"/>
        <v>5.8551085288895983E-3</v>
      </c>
      <c r="D37" s="13">
        <f t="shared" si="12"/>
        <v>-1.5536329016699799E-2</v>
      </c>
      <c r="E37" s="14">
        <f t="shared" si="12"/>
        <v>5.5949284218091269E-2</v>
      </c>
    </row>
    <row r="38" spans="2:5" ht="9.75" customHeight="1" x14ac:dyDescent="0.25">
      <c r="B38" s="11"/>
      <c r="C38" s="13"/>
      <c r="D38" s="13"/>
      <c r="E38" s="14"/>
    </row>
    <row r="39" spans="2:5" x14ac:dyDescent="0.25">
      <c r="B39" s="10" t="s">
        <v>25</v>
      </c>
      <c r="C39" s="19">
        <f t="shared" si="12"/>
        <v>2.7022931649994905E-2</v>
      </c>
      <c r="D39" s="19">
        <f t="shared" si="12"/>
        <v>1.2175760010275973</v>
      </c>
      <c r="E39" s="20">
        <f t="shared" si="12"/>
        <v>-0.5222535286610771</v>
      </c>
    </row>
  </sheetData>
  <mergeCells count="4">
    <mergeCell ref="B2:F2"/>
    <mergeCell ref="B26:E26"/>
    <mergeCell ref="C3:F3"/>
    <mergeCell ref="I2:L2"/>
  </mergeCells>
  <pageMargins left="0.25" right="0.25" top="0.75" bottom="0.75" header="0.3" footer="0.3"/>
  <pageSetup paperSize="9" scale="81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D4FCE3-1C0C-47A4-9212-07EC6FA2B5FA}">
  <dimension ref="B3:H30"/>
  <sheetViews>
    <sheetView workbookViewId="0">
      <selection activeCell="C9" sqref="C9"/>
    </sheetView>
  </sheetViews>
  <sheetFormatPr defaultRowHeight="15" x14ac:dyDescent="0.25"/>
  <cols>
    <col min="2" max="2" width="1.5703125" customWidth="1"/>
    <col min="3" max="3" width="18.5703125" customWidth="1"/>
    <col min="4" max="4" width="10.5703125" style="1" bestFit="1" customWidth="1"/>
    <col min="5" max="5" width="2.140625" style="1" customWidth="1"/>
    <col min="6" max="6" width="1.7109375" customWidth="1"/>
    <col min="7" max="7" width="25" customWidth="1"/>
    <col min="8" max="8" width="10.5703125" style="1" bestFit="1" customWidth="1"/>
  </cols>
  <sheetData>
    <row r="3" spans="2:8" x14ac:dyDescent="0.25">
      <c r="B3" s="207" t="s">
        <v>143</v>
      </c>
      <c r="C3" s="208"/>
      <c r="D3" s="208"/>
      <c r="E3" s="208"/>
      <c r="F3" s="208"/>
      <c r="G3" s="208"/>
      <c r="H3" s="209"/>
    </row>
    <row r="4" spans="2:8" ht="7.5" customHeight="1" x14ac:dyDescent="0.25">
      <c r="B4" s="11"/>
      <c r="D4" s="7"/>
      <c r="E4" s="7"/>
      <c r="H4" s="12"/>
    </row>
    <row r="5" spans="2:8" x14ac:dyDescent="0.25">
      <c r="B5" s="21" t="s">
        <v>13</v>
      </c>
      <c r="C5" s="21"/>
      <c r="D5" s="169" t="s">
        <v>27</v>
      </c>
      <c r="E5" s="169"/>
      <c r="F5" s="22" t="s">
        <v>30</v>
      </c>
      <c r="G5" s="22"/>
      <c r="H5" s="170" t="s">
        <v>27</v>
      </c>
    </row>
    <row r="6" spans="2:8" x14ac:dyDescent="0.25">
      <c r="B6" s="160" t="s">
        <v>14</v>
      </c>
      <c r="C6" s="160"/>
      <c r="D6" s="161"/>
      <c r="E6" s="161"/>
      <c r="F6" s="162" t="s">
        <v>31</v>
      </c>
      <c r="G6" s="162"/>
      <c r="H6" s="163"/>
    </row>
    <row r="7" spans="2:8" x14ac:dyDescent="0.25">
      <c r="B7" s="15"/>
      <c r="C7" s="34" t="s">
        <v>15</v>
      </c>
      <c r="D7" s="164">
        <v>46</v>
      </c>
      <c r="E7" s="164"/>
      <c r="F7" s="34"/>
      <c r="G7" s="34" t="s">
        <v>32</v>
      </c>
      <c r="H7" s="165">
        <v>58</v>
      </c>
    </row>
    <row r="8" spans="2:8" x14ac:dyDescent="0.25">
      <c r="B8" s="15"/>
      <c r="C8" s="34" t="s">
        <v>16</v>
      </c>
      <c r="D8" s="164">
        <f>'P&amp;L'!C7*0.166</f>
        <v>709.53565020266751</v>
      </c>
      <c r="E8" s="164"/>
      <c r="F8" s="34"/>
      <c r="G8" s="34" t="s">
        <v>33</v>
      </c>
      <c r="H8" s="166">
        <v>107</v>
      </c>
    </row>
    <row r="9" spans="2:8" x14ac:dyDescent="0.25">
      <c r="B9" s="15"/>
      <c r="C9" s="34" t="s">
        <v>17</v>
      </c>
      <c r="D9" s="167">
        <f>'P&amp;L'!C6*0.08</f>
        <v>621.71798484352018</v>
      </c>
      <c r="E9" s="164"/>
      <c r="F9" s="34"/>
      <c r="G9" s="34" t="s">
        <v>34</v>
      </c>
      <c r="H9" s="165">
        <f>SUM(H7:H8)</f>
        <v>165</v>
      </c>
    </row>
    <row r="10" spans="2:8" x14ac:dyDescent="0.25">
      <c r="B10" s="15"/>
      <c r="C10" s="34" t="s">
        <v>21</v>
      </c>
      <c r="D10" s="164">
        <f>SUM(D7:D9)</f>
        <v>1377.2536350461878</v>
      </c>
      <c r="E10" s="164"/>
      <c r="F10" s="34"/>
      <c r="G10" s="34"/>
      <c r="H10" s="165"/>
    </row>
    <row r="11" spans="2:8" x14ac:dyDescent="0.25">
      <c r="B11" s="15"/>
      <c r="C11" s="34"/>
      <c r="D11" s="164"/>
      <c r="E11" s="164"/>
      <c r="F11" s="34" t="s">
        <v>35</v>
      </c>
      <c r="G11" s="162"/>
      <c r="H11" s="163"/>
    </row>
    <row r="12" spans="2:8" x14ac:dyDescent="0.25">
      <c r="B12" s="15" t="s">
        <v>18</v>
      </c>
      <c r="C12" s="162"/>
      <c r="D12" s="161"/>
      <c r="E12" s="161"/>
      <c r="F12" s="34"/>
      <c r="G12" s="34" t="s">
        <v>36</v>
      </c>
      <c r="H12" s="166">
        <v>980</v>
      </c>
    </row>
    <row r="13" spans="2:8" x14ac:dyDescent="0.25">
      <c r="B13" s="15"/>
      <c r="C13" s="34" t="s">
        <v>23</v>
      </c>
      <c r="D13" s="164">
        <v>941</v>
      </c>
      <c r="E13" s="164"/>
      <c r="F13" s="34"/>
      <c r="G13" s="34" t="s">
        <v>37</v>
      </c>
      <c r="H13" s="165">
        <f>H12</f>
        <v>980</v>
      </c>
    </row>
    <row r="14" spans="2:8" x14ac:dyDescent="0.25">
      <c r="B14" s="15"/>
      <c r="C14" s="34" t="s">
        <v>19</v>
      </c>
      <c r="D14" s="164">
        <v>62</v>
      </c>
      <c r="E14" s="164"/>
      <c r="F14" s="34"/>
      <c r="G14" s="34"/>
      <c r="H14" s="165"/>
    </row>
    <row r="15" spans="2:8" x14ac:dyDescent="0.25">
      <c r="B15" s="15"/>
      <c r="C15" s="34" t="s">
        <v>20</v>
      </c>
      <c r="D15" s="167">
        <v>240</v>
      </c>
      <c r="E15" s="164"/>
      <c r="F15" s="34"/>
      <c r="G15" s="168" t="s">
        <v>38</v>
      </c>
      <c r="H15" s="175">
        <f>H9+H13</f>
        <v>1145</v>
      </c>
    </row>
    <row r="16" spans="2:8" x14ac:dyDescent="0.25">
      <c r="B16" s="15"/>
      <c r="C16" s="34" t="s">
        <v>22</v>
      </c>
      <c r="D16" s="164">
        <f>SUM(D13:D15)</f>
        <v>1243</v>
      </c>
      <c r="E16" s="164"/>
      <c r="F16" s="34"/>
      <c r="G16" s="34"/>
      <c r="H16" s="165"/>
    </row>
    <row r="17" spans="2:8" x14ac:dyDescent="0.25">
      <c r="B17" s="15"/>
      <c r="C17" s="34"/>
      <c r="D17" s="164"/>
      <c r="E17" s="164"/>
      <c r="F17" s="46" t="s">
        <v>39</v>
      </c>
      <c r="G17" s="46"/>
      <c r="H17" s="170" t="s">
        <v>27</v>
      </c>
    </row>
    <row r="18" spans="2:8" x14ac:dyDescent="0.25">
      <c r="B18" s="15"/>
      <c r="C18" s="168" t="s">
        <v>29</v>
      </c>
      <c r="D18" s="176">
        <f>D10+D16</f>
        <v>2620.2536350461878</v>
      </c>
      <c r="E18" s="171"/>
      <c r="F18" s="34"/>
      <c r="G18" s="34" t="s">
        <v>40</v>
      </c>
      <c r="H18" s="165">
        <v>500</v>
      </c>
    </row>
    <row r="19" spans="2:8" x14ac:dyDescent="0.25">
      <c r="B19" s="15"/>
      <c r="C19" s="34"/>
      <c r="D19" s="164"/>
      <c r="E19" s="164"/>
      <c r="F19" s="34"/>
      <c r="G19" s="34" t="s">
        <v>41</v>
      </c>
      <c r="H19" s="165">
        <v>975</v>
      </c>
    </row>
    <row r="20" spans="2:8" x14ac:dyDescent="0.25">
      <c r="B20" s="15"/>
      <c r="C20" s="34"/>
      <c r="D20" s="164"/>
      <c r="E20" s="164"/>
      <c r="F20" s="34"/>
      <c r="G20" s="168" t="s">
        <v>42</v>
      </c>
      <c r="H20" s="175">
        <f>H18+H19</f>
        <v>1475</v>
      </c>
    </row>
    <row r="21" spans="2:8" x14ac:dyDescent="0.25">
      <c r="B21" s="15"/>
      <c r="C21" s="34"/>
      <c r="D21" s="164"/>
      <c r="E21" s="164"/>
      <c r="F21" s="34"/>
      <c r="G21" s="34"/>
      <c r="H21" s="165"/>
    </row>
    <row r="22" spans="2:8" x14ac:dyDescent="0.25">
      <c r="B22" s="172"/>
      <c r="C22" s="173"/>
      <c r="D22" s="167"/>
      <c r="E22" s="167"/>
      <c r="F22" s="173"/>
      <c r="G22" s="174" t="s">
        <v>43</v>
      </c>
      <c r="H22" s="175">
        <f>H15+H20</f>
        <v>2620</v>
      </c>
    </row>
    <row r="25" spans="2:8" x14ac:dyDescent="0.25">
      <c r="C25" s="5" t="s">
        <v>44</v>
      </c>
      <c r="D25" s="1" t="s">
        <v>49</v>
      </c>
    </row>
    <row r="27" spans="2:8" x14ac:dyDescent="0.25">
      <c r="C27" t="s">
        <v>45</v>
      </c>
      <c r="D27" s="4">
        <f>D10/H9</f>
        <v>8.3469917275526537</v>
      </c>
      <c r="E27" s="4"/>
    </row>
    <row r="28" spans="2:8" x14ac:dyDescent="0.25">
      <c r="C28" t="s">
        <v>46</v>
      </c>
      <c r="D28" s="2">
        <f>H15/D18</f>
        <v>0.43698059786483867</v>
      </c>
      <c r="E28" s="2"/>
    </row>
    <row r="29" spans="2:8" x14ac:dyDescent="0.25">
      <c r="C29" t="s">
        <v>47</v>
      </c>
      <c r="D29" s="2">
        <f>'P&amp;L'!C20/'Balance Sheet'!D18</f>
        <v>0.30775898114906486</v>
      </c>
      <c r="E29" s="2"/>
    </row>
    <row r="30" spans="2:8" x14ac:dyDescent="0.25">
      <c r="C30" t="s">
        <v>53</v>
      </c>
      <c r="D30" s="2">
        <f>'P&amp;L'!C20/'Balance Sheet'!H20</f>
        <v>0.54671633157555821</v>
      </c>
      <c r="E30" s="2"/>
    </row>
  </sheetData>
  <mergeCells count="1">
    <mergeCell ref="B3:H3"/>
  </mergeCell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C90695-F557-4AE2-BDFB-D707E4F74C6B}">
  <dimension ref="B1:H23"/>
  <sheetViews>
    <sheetView workbookViewId="0">
      <selection activeCell="D21" sqref="D21"/>
    </sheetView>
  </sheetViews>
  <sheetFormatPr defaultRowHeight="15" x14ac:dyDescent="0.25"/>
  <cols>
    <col min="2" max="2" width="26.140625" customWidth="1"/>
    <col min="3" max="3" width="14.28515625" customWidth="1"/>
    <col min="4" max="4" width="12" customWidth="1"/>
    <col min="5" max="5" width="12.5703125" bestFit="1" customWidth="1"/>
    <col min="6" max="6" width="11.5703125" bestFit="1" customWidth="1"/>
  </cols>
  <sheetData>
    <row r="1" spans="2:8" ht="18.75" x14ac:dyDescent="0.3">
      <c r="B1" s="63" t="s">
        <v>110</v>
      </c>
      <c r="C1" s="83" t="str">
        <f>'P&amp;L'!I2</f>
        <v>financial year</v>
      </c>
      <c r="D1" s="83" t="s">
        <v>4</v>
      </c>
      <c r="E1" s="83"/>
      <c r="F1" s="84"/>
      <c r="H1" t="s">
        <v>109</v>
      </c>
    </row>
    <row r="2" spans="2:8" ht="18.75" x14ac:dyDescent="0.3">
      <c r="B2" s="64" t="s">
        <v>111</v>
      </c>
      <c r="C2" s="34"/>
      <c r="D2" s="34"/>
      <c r="E2" s="34"/>
      <c r="F2" s="85"/>
    </row>
    <row r="3" spans="2:8" x14ac:dyDescent="0.25">
      <c r="B3" s="11"/>
      <c r="C3" s="65" t="s">
        <v>104</v>
      </c>
      <c r="D3" s="66" t="s">
        <v>105</v>
      </c>
      <c r="E3" s="67" t="s">
        <v>106</v>
      </c>
      <c r="F3" s="68" t="s">
        <v>108</v>
      </c>
    </row>
    <row r="4" spans="2:8" x14ac:dyDescent="0.25">
      <c r="B4" s="92" t="str">
        <f>'P&amp;L'!H4</f>
        <v>number of bikes sold</v>
      </c>
      <c r="C4" s="93">
        <f>'P&amp;L'!I4</f>
        <v>5995.0642080000016</v>
      </c>
      <c r="D4" s="94">
        <f>C4/12</f>
        <v>499.58868400000011</v>
      </c>
      <c r="E4" s="95">
        <f>C4/52</f>
        <v>115.28969630769234</v>
      </c>
      <c r="F4" s="96">
        <f>C4/252</f>
        <v>23.789937333333338</v>
      </c>
    </row>
    <row r="5" spans="2:8" x14ac:dyDescent="0.25">
      <c r="B5" s="92" t="str">
        <f>'P&amp;L'!H5</f>
        <v>average price of bike</v>
      </c>
      <c r="C5" s="97">
        <f>'P&amp;L'!I5</f>
        <v>1243</v>
      </c>
      <c r="D5" s="98">
        <f>C5</f>
        <v>1243</v>
      </c>
      <c r="E5" s="95">
        <f>D5</f>
        <v>1243</v>
      </c>
      <c r="F5" s="99">
        <f>E5</f>
        <v>1243</v>
      </c>
    </row>
    <row r="6" spans="2:8" x14ac:dyDescent="0.25">
      <c r="B6" s="92" t="str">
        <f>'P&amp;L'!H6</f>
        <v>revenue from sales of bikes</v>
      </c>
      <c r="C6" s="97">
        <f>'P&amp;L'!I6</f>
        <v>7451864.8105440019</v>
      </c>
      <c r="D6" s="98">
        <f>C6/12</f>
        <v>620988.73421200016</v>
      </c>
      <c r="E6" s="100">
        <f>C6/52</f>
        <v>143305.09251046157</v>
      </c>
      <c r="F6" s="101">
        <f>C6/252</f>
        <v>29570.89210533334</v>
      </c>
    </row>
    <row r="7" spans="2:8" x14ac:dyDescent="0.25">
      <c r="B7" s="86"/>
      <c r="C7" s="87"/>
      <c r="D7" s="88"/>
      <c r="E7" s="89"/>
      <c r="F7" s="90"/>
    </row>
    <row r="8" spans="2:8" x14ac:dyDescent="0.25">
      <c r="B8" s="92" t="str">
        <f>'P&amp;L'!H8</f>
        <v>number of battery packs sold</v>
      </c>
      <c r="C8" s="93">
        <f>'P&amp;L'!I8</f>
        <v>1031</v>
      </c>
      <c r="D8" s="94">
        <f t="shared" ref="D8:D12" si="0">C8/12</f>
        <v>85.916666666666671</v>
      </c>
      <c r="E8" s="102">
        <f>C8/52</f>
        <v>19.826923076923077</v>
      </c>
      <c r="F8" s="96">
        <f>C8/252</f>
        <v>4.0912698412698409</v>
      </c>
    </row>
    <row r="9" spans="2:8" x14ac:dyDescent="0.25">
      <c r="B9" s="92" t="str">
        <f>'P&amp;L'!H9</f>
        <v>average price of battery pack</v>
      </c>
      <c r="C9" s="97">
        <f>'P&amp;L'!I9</f>
        <v>310</v>
      </c>
      <c r="D9" s="98">
        <f>C9</f>
        <v>310</v>
      </c>
      <c r="E9" s="100">
        <f>D9</f>
        <v>310</v>
      </c>
      <c r="F9" s="103">
        <f>E9</f>
        <v>310</v>
      </c>
    </row>
    <row r="10" spans="2:8" x14ac:dyDescent="0.25">
      <c r="B10" s="92" t="str">
        <f>'P&amp;L'!H10</f>
        <v>revenue from sale of battery packs</v>
      </c>
      <c r="C10" s="97">
        <f>'P&amp;L'!I10</f>
        <v>319610</v>
      </c>
      <c r="D10" s="98">
        <f t="shared" si="0"/>
        <v>26634.166666666668</v>
      </c>
      <c r="E10" s="100">
        <f>C10/52</f>
        <v>6146.3461538461543</v>
      </c>
      <c r="F10" s="101">
        <f>C10/252</f>
        <v>1268.2936507936508</v>
      </c>
    </row>
    <row r="11" spans="2:8" x14ac:dyDescent="0.25">
      <c r="B11" s="86"/>
      <c r="C11" s="87"/>
      <c r="D11" s="91"/>
      <c r="E11" s="89"/>
      <c r="F11" s="90"/>
    </row>
    <row r="12" spans="2:8" x14ac:dyDescent="0.25">
      <c r="B12" s="92" t="str">
        <f>'P&amp;L'!H12</f>
        <v>total revenue</v>
      </c>
      <c r="C12" s="97">
        <f>'P&amp;L'!I12</f>
        <v>7771474.8105440019</v>
      </c>
      <c r="D12" s="98">
        <f t="shared" si="0"/>
        <v>647622.90087866678</v>
      </c>
      <c r="E12" s="100">
        <f>C12/52</f>
        <v>149451.43866430773</v>
      </c>
      <c r="F12" s="101">
        <f>C12/252</f>
        <v>30839.18575612699</v>
      </c>
    </row>
    <row r="13" spans="2:8" x14ac:dyDescent="0.25">
      <c r="B13" s="34"/>
      <c r="C13" s="34"/>
      <c r="D13" s="34"/>
      <c r="E13" s="34"/>
      <c r="F13" s="34"/>
    </row>
    <row r="14" spans="2:8" x14ac:dyDescent="0.25">
      <c r="B14" s="34"/>
      <c r="C14" s="34"/>
      <c r="D14" s="34"/>
      <c r="E14" s="34"/>
      <c r="F14" s="34"/>
    </row>
    <row r="15" spans="2:8" ht="18.75" x14ac:dyDescent="0.3">
      <c r="B15" s="63" t="s">
        <v>110</v>
      </c>
      <c r="C15" s="83" t="str">
        <f>C1</f>
        <v>financial year</v>
      </c>
      <c r="D15" s="83" t="s">
        <v>4</v>
      </c>
      <c r="E15" s="83"/>
      <c r="F15" s="84"/>
    </row>
    <row r="16" spans="2:8" ht="18.75" x14ac:dyDescent="0.3">
      <c r="B16" s="64" t="s">
        <v>120</v>
      </c>
      <c r="C16" s="34"/>
      <c r="D16" s="34"/>
      <c r="E16" s="34"/>
      <c r="F16" s="85"/>
    </row>
    <row r="17" spans="2:6" x14ac:dyDescent="0.25">
      <c r="B17" s="11"/>
      <c r="C17" s="65" t="s">
        <v>104</v>
      </c>
      <c r="D17" s="66" t="s">
        <v>105</v>
      </c>
      <c r="E17" s="67" t="s">
        <v>106</v>
      </c>
      <c r="F17" s="68" t="s">
        <v>108</v>
      </c>
    </row>
    <row r="18" spans="2:6" x14ac:dyDescent="0.25">
      <c r="B18" s="6" t="s">
        <v>9</v>
      </c>
      <c r="C18" s="104">
        <f>'P&amp;L'!C11*1000</f>
        <v>1165721.2215816004</v>
      </c>
      <c r="D18" s="105">
        <f>C18/12</f>
        <v>97143.435131800026</v>
      </c>
      <c r="E18" s="105">
        <f>C18/52</f>
        <v>22417.715799646161</v>
      </c>
      <c r="F18" s="105">
        <f>C18/252</f>
        <v>4625.8778634190494</v>
      </c>
    </row>
    <row r="19" spans="2:6" x14ac:dyDescent="0.25">
      <c r="B19" s="6" t="s">
        <v>12</v>
      </c>
      <c r="C19" s="104">
        <f>'P&amp;L'!C12*1000</f>
        <v>854862.22915984027</v>
      </c>
      <c r="D19" s="105">
        <f t="shared" ref="D19:D23" si="1">C19/12</f>
        <v>71238.519096653356</v>
      </c>
      <c r="E19" s="105">
        <f t="shared" ref="E19:E23" si="2">C19/52</f>
        <v>16439.658253073852</v>
      </c>
      <c r="F19" s="105">
        <f t="shared" ref="F19:F23" si="3">C19/252</f>
        <v>3392.3104331739692</v>
      </c>
    </row>
    <row r="20" spans="2:6" x14ac:dyDescent="0.25">
      <c r="B20" s="6" t="s">
        <v>79</v>
      </c>
      <c r="C20" s="104">
        <f>'P&amp;L'!C13*1000</f>
        <v>116000</v>
      </c>
      <c r="D20" s="105">
        <f t="shared" si="1"/>
        <v>9666.6666666666661</v>
      </c>
      <c r="E20" s="105">
        <f t="shared" si="2"/>
        <v>2230.7692307692309</v>
      </c>
      <c r="F20" s="105">
        <f t="shared" si="3"/>
        <v>460.3174603174603</v>
      </c>
    </row>
    <row r="21" spans="2:6" x14ac:dyDescent="0.25">
      <c r="B21" s="6" t="s">
        <v>10</v>
      </c>
      <c r="C21" s="104">
        <f>'P&amp;L'!C14*1000</f>
        <v>107800</v>
      </c>
      <c r="D21" s="105">
        <f t="shared" si="1"/>
        <v>8983.3333333333339</v>
      </c>
      <c r="E21" s="105">
        <f t="shared" si="2"/>
        <v>2073.0769230769229</v>
      </c>
      <c r="F21" s="105">
        <f t="shared" si="3"/>
        <v>427.77777777777777</v>
      </c>
    </row>
    <row r="22" spans="2:6" x14ac:dyDescent="0.25">
      <c r="B22" s="6" t="s">
        <v>11</v>
      </c>
      <c r="C22" s="104">
        <f>'P&amp;L'!C15*1000</f>
        <v>177571.42857142858</v>
      </c>
      <c r="D22" s="105">
        <f t="shared" si="1"/>
        <v>14797.619047619048</v>
      </c>
      <c r="E22" s="105">
        <f t="shared" si="2"/>
        <v>3414.835164835165</v>
      </c>
      <c r="F22" s="105">
        <f t="shared" si="3"/>
        <v>704.64852607709759</v>
      </c>
    </row>
    <row r="23" spans="2:6" x14ac:dyDescent="0.25">
      <c r="B23" s="6" t="s">
        <v>24</v>
      </c>
      <c r="C23" s="104">
        <f>'P&amp;L'!C16*1000</f>
        <v>2421954.8793128692</v>
      </c>
      <c r="D23" s="105">
        <f t="shared" si="1"/>
        <v>201829.57327607242</v>
      </c>
      <c r="E23" s="105">
        <f t="shared" si="2"/>
        <v>46576.055371401329</v>
      </c>
      <c r="F23" s="105">
        <f t="shared" si="3"/>
        <v>9610.9320607653535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4AC9F3-BE49-4650-B45D-45CD6654BF94}">
  <dimension ref="B3:F14"/>
  <sheetViews>
    <sheetView workbookViewId="0">
      <selection activeCell="B4" sqref="B4"/>
    </sheetView>
  </sheetViews>
  <sheetFormatPr defaultRowHeight="15" x14ac:dyDescent="0.25"/>
  <cols>
    <col min="2" max="2" width="30.140625" customWidth="1"/>
    <col min="4" max="4" width="11.7109375" customWidth="1"/>
    <col min="5" max="5" width="8.5703125" customWidth="1"/>
  </cols>
  <sheetData>
    <row r="3" spans="2:6" ht="18.75" x14ac:dyDescent="0.3">
      <c r="B3" s="63" t="s">
        <v>144</v>
      </c>
      <c r="C3" s="74" t="s">
        <v>104</v>
      </c>
      <c r="D3" s="75" t="s">
        <v>105</v>
      </c>
      <c r="E3" s="76" t="s">
        <v>106</v>
      </c>
      <c r="F3" s="77" t="s">
        <v>108</v>
      </c>
    </row>
    <row r="4" spans="2:6" x14ac:dyDescent="0.25">
      <c r="B4" s="69" t="s">
        <v>112</v>
      </c>
      <c r="C4" s="70">
        <f>'P&amp;L'!I4</f>
        <v>5995.0642080000016</v>
      </c>
      <c r="D4" s="71">
        <f>C4/12</f>
        <v>499.58868400000011</v>
      </c>
      <c r="E4" s="72">
        <f>C4/52</f>
        <v>115.28969630769234</v>
      </c>
      <c r="F4" s="73">
        <f>C4/252</f>
        <v>23.789937333333338</v>
      </c>
    </row>
    <row r="5" spans="2:6" x14ac:dyDescent="0.25">
      <c r="B5" s="11"/>
      <c r="F5" s="25"/>
    </row>
    <row r="6" spans="2:6" x14ac:dyDescent="0.25">
      <c r="B6" s="78" t="s">
        <v>119</v>
      </c>
      <c r="C6" s="60"/>
      <c r="D6" s="60"/>
      <c r="E6" s="60"/>
      <c r="F6" s="68"/>
    </row>
    <row r="7" spans="2:6" x14ac:dyDescent="0.25">
      <c r="B7" s="11"/>
      <c r="F7" s="25"/>
    </row>
    <row r="8" spans="2:6" x14ac:dyDescent="0.25">
      <c r="B8" s="11" t="s">
        <v>113</v>
      </c>
      <c r="D8" s="7">
        <f>('P&amp;L'!I19)*1000</f>
        <v>3196311.1457992019</v>
      </c>
      <c r="F8" s="25"/>
    </row>
    <row r="9" spans="2:6" x14ac:dyDescent="0.25">
      <c r="B9" s="11" t="s">
        <v>114</v>
      </c>
      <c r="D9" s="79">
        <f>C4</f>
        <v>5995.0642080000016</v>
      </c>
      <c r="F9" s="25"/>
    </row>
    <row r="10" spans="2:6" x14ac:dyDescent="0.25">
      <c r="B10" s="11" t="s">
        <v>115</v>
      </c>
      <c r="D10" s="80">
        <f>D8/D9</f>
        <v>533.15711640484915</v>
      </c>
      <c r="F10" s="25"/>
    </row>
    <row r="11" spans="2:6" x14ac:dyDescent="0.25">
      <c r="B11" s="11"/>
      <c r="F11" s="25"/>
    </row>
    <row r="12" spans="2:6" x14ac:dyDescent="0.25">
      <c r="B12" s="11" t="s">
        <v>116</v>
      </c>
      <c r="D12" s="7">
        <f>('Balance Sheet'!D8)*1000</f>
        <v>709535.65020266746</v>
      </c>
      <c r="F12" s="25"/>
    </row>
    <row r="13" spans="2:6" x14ac:dyDescent="0.25">
      <c r="B13" s="11" t="s">
        <v>117</v>
      </c>
      <c r="D13" s="61">
        <f>E4*D10</f>
        <v>61467.522034600028</v>
      </c>
      <c r="F13" s="25"/>
    </row>
    <row r="14" spans="2:6" x14ac:dyDescent="0.25">
      <c r="B14" s="10" t="s">
        <v>118</v>
      </c>
      <c r="C14" s="23"/>
      <c r="D14" s="81">
        <f>D12/D13</f>
        <v>11.543261005434225</v>
      </c>
      <c r="E14" s="23"/>
      <c r="F14" s="82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D17999-7E9A-441A-A0A2-20F03FA79CEA}">
  <dimension ref="B2:E33"/>
  <sheetViews>
    <sheetView workbookViewId="0">
      <selection activeCell="B18" sqref="B18"/>
    </sheetView>
  </sheetViews>
  <sheetFormatPr defaultRowHeight="15" x14ac:dyDescent="0.25"/>
  <cols>
    <col min="1" max="1" width="3.85546875" customWidth="1"/>
    <col min="2" max="2" width="25.140625" customWidth="1"/>
    <col min="3" max="3" width="6.85546875" customWidth="1"/>
    <col min="4" max="4" width="9.42578125" customWidth="1"/>
    <col min="5" max="5" width="10.42578125" customWidth="1"/>
  </cols>
  <sheetData>
    <row r="2" spans="2:3" x14ac:dyDescent="0.25">
      <c r="B2" t="s">
        <v>145</v>
      </c>
    </row>
    <row r="3" spans="2:3" ht="6.75" customHeight="1" x14ac:dyDescent="0.25"/>
    <row r="4" spans="2:3" x14ac:dyDescent="0.25">
      <c r="B4" s="26" t="s">
        <v>141</v>
      </c>
      <c r="C4" s="27"/>
    </row>
    <row r="5" spans="2:3" x14ac:dyDescent="0.25">
      <c r="B5" s="11" t="s">
        <v>54</v>
      </c>
      <c r="C5" s="25">
        <v>7</v>
      </c>
    </row>
    <row r="6" spans="2:3" x14ac:dyDescent="0.25">
      <c r="B6" s="11" t="s">
        <v>55</v>
      </c>
      <c r="C6" s="25">
        <v>6</v>
      </c>
    </row>
    <row r="7" spans="2:3" x14ac:dyDescent="0.25">
      <c r="B7" s="11" t="s">
        <v>56</v>
      </c>
      <c r="C7" s="25">
        <v>4</v>
      </c>
    </row>
    <row r="8" spans="2:3" x14ac:dyDescent="0.25">
      <c r="B8" s="11" t="s">
        <v>57</v>
      </c>
      <c r="C8" s="25">
        <v>3</v>
      </c>
    </row>
    <row r="9" spans="2:3" x14ac:dyDescent="0.25">
      <c r="B9" s="11" t="s">
        <v>58</v>
      </c>
      <c r="C9" s="25">
        <v>3</v>
      </c>
    </row>
    <row r="10" spans="2:3" x14ac:dyDescent="0.25">
      <c r="B10" s="11" t="s">
        <v>59</v>
      </c>
      <c r="C10" s="25">
        <v>2</v>
      </c>
    </row>
    <row r="11" spans="2:3" x14ac:dyDescent="0.25">
      <c r="B11" s="11" t="s">
        <v>60</v>
      </c>
      <c r="C11" s="25">
        <v>0</v>
      </c>
    </row>
    <row r="12" spans="2:3" x14ac:dyDescent="0.25">
      <c r="B12" s="11" t="s">
        <v>61</v>
      </c>
      <c r="C12" s="25">
        <v>2</v>
      </c>
    </row>
    <row r="13" spans="2:3" x14ac:dyDescent="0.25">
      <c r="B13" s="10"/>
      <c r="C13" s="28">
        <f>SUM(C5:C12)</f>
        <v>27</v>
      </c>
    </row>
    <row r="17" spans="2:5" x14ac:dyDescent="0.25">
      <c r="B17" t="s">
        <v>146</v>
      </c>
    </row>
    <row r="18" spans="2:5" ht="4.5" customHeight="1" x14ac:dyDescent="0.25"/>
    <row r="19" spans="2:5" x14ac:dyDescent="0.25">
      <c r="B19" s="26" t="s">
        <v>62</v>
      </c>
      <c r="C19" s="210" t="s">
        <v>69</v>
      </c>
      <c r="D19" s="211"/>
      <c r="E19" s="8" t="s">
        <v>72</v>
      </c>
    </row>
    <row r="20" spans="2:5" x14ac:dyDescent="0.25">
      <c r="B20" s="33" t="s">
        <v>63</v>
      </c>
      <c r="C20" s="6" t="s">
        <v>70</v>
      </c>
      <c r="D20" s="6" t="s">
        <v>71</v>
      </c>
      <c r="E20" s="9" t="s">
        <v>73</v>
      </c>
    </row>
    <row r="21" spans="2:5" x14ac:dyDescent="0.25">
      <c r="B21" s="11" t="s">
        <v>64</v>
      </c>
      <c r="C21" s="29">
        <v>0.14000000000000001</v>
      </c>
      <c r="D21" s="29">
        <v>0.13</v>
      </c>
      <c r="E21" s="30">
        <v>0.03</v>
      </c>
    </row>
    <row r="22" spans="2:5" x14ac:dyDescent="0.25">
      <c r="B22" s="11" t="s">
        <v>65</v>
      </c>
      <c r="C22" s="29">
        <v>0.25</v>
      </c>
      <c r="D22" s="29">
        <v>0.28000000000000003</v>
      </c>
      <c r="E22" s="30">
        <v>0.04</v>
      </c>
    </row>
    <row r="23" spans="2:5" x14ac:dyDescent="0.25">
      <c r="B23" s="11" t="s">
        <v>66</v>
      </c>
      <c r="C23" s="29">
        <v>0.35</v>
      </c>
      <c r="D23" s="29">
        <v>0.37</v>
      </c>
      <c r="E23" s="30">
        <v>0.08</v>
      </c>
    </row>
    <row r="24" spans="2:5" x14ac:dyDescent="0.25">
      <c r="B24" s="11" t="s">
        <v>67</v>
      </c>
      <c r="C24" s="29">
        <v>0.4</v>
      </c>
      <c r="D24" s="29">
        <v>0.46</v>
      </c>
      <c r="E24" s="30">
        <v>0.1</v>
      </c>
    </row>
    <row r="25" spans="2:5" x14ac:dyDescent="0.25">
      <c r="B25" s="10" t="s">
        <v>68</v>
      </c>
      <c r="C25" s="31">
        <v>0.32</v>
      </c>
      <c r="D25" s="31">
        <v>0.25</v>
      </c>
      <c r="E25" s="32">
        <v>0.02</v>
      </c>
    </row>
    <row r="26" spans="2:5" x14ac:dyDescent="0.25">
      <c r="B26" s="34"/>
      <c r="C26" s="34"/>
      <c r="D26" s="34"/>
      <c r="E26" s="34"/>
    </row>
    <row r="27" spans="2:5" x14ac:dyDescent="0.25">
      <c r="B27" s="26" t="s">
        <v>74</v>
      </c>
      <c r="C27" s="210" t="s">
        <v>69</v>
      </c>
      <c r="D27" s="211"/>
      <c r="E27" s="8" t="s">
        <v>72</v>
      </c>
    </row>
    <row r="28" spans="2:5" x14ac:dyDescent="0.25">
      <c r="B28" s="33" t="s">
        <v>63</v>
      </c>
      <c r="C28" s="6" t="s">
        <v>70</v>
      </c>
      <c r="D28" s="6" t="s">
        <v>71</v>
      </c>
      <c r="E28" s="9" t="s">
        <v>73</v>
      </c>
    </row>
    <row r="29" spans="2:5" x14ac:dyDescent="0.25">
      <c r="B29" s="11" t="s">
        <v>64</v>
      </c>
      <c r="C29" s="29">
        <v>0.64</v>
      </c>
      <c r="D29" s="29">
        <v>0.68</v>
      </c>
      <c r="E29" s="30">
        <v>0.64</v>
      </c>
    </row>
    <row r="30" spans="2:5" x14ac:dyDescent="0.25">
      <c r="B30" s="11" t="s">
        <v>65</v>
      </c>
      <c r="C30" s="29">
        <v>0.72</v>
      </c>
      <c r="D30" s="29">
        <v>0.77</v>
      </c>
      <c r="E30" s="30">
        <v>0.68</v>
      </c>
    </row>
    <row r="31" spans="2:5" x14ac:dyDescent="0.25">
      <c r="B31" s="11" t="s">
        <v>66</v>
      </c>
      <c r="C31" s="29">
        <v>0.77</v>
      </c>
      <c r="D31" s="29">
        <v>0.85</v>
      </c>
      <c r="E31" s="30">
        <v>0.74</v>
      </c>
    </row>
    <row r="32" spans="2:5" x14ac:dyDescent="0.25">
      <c r="B32" s="11" t="s">
        <v>67</v>
      </c>
      <c r="C32" s="29">
        <v>0.78</v>
      </c>
      <c r="D32" s="29">
        <v>0.86</v>
      </c>
      <c r="E32" s="30">
        <v>0.68</v>
      </c>
    </row>
    <row r="33" spans="2:5" x14ac:dyDescent="0.25">
      <c r="B33" s="10" t="s">
        <v>68</v>
      </c>
      <c r="C33" s="31">
        <v>0.77</v>
      </c>
      <c r="D33" s="31">
        <v>0.8</v>
      </c>
      <c r="E33" s="32">
        <v>0.54</v>
      </c>
    </row>
  </sheetData>
  <mergeCells count="2">
    <mergeCell ref="C19:D19"/>
    <mergeCell ref="C27:D2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061164-13FA-49CE-B1ED-BF755DC0DF28}">
  <dimension ref="B3:G14"/>
  <sheetViews>
    <sheetView workbookViewId="0">
      <selection activeCell="I14" sqref="I14"/>
    </sheetView>
  </sheetViews>
  <sheetFormatPr defaultRowHeight="15" x14ac:dyDescent="0.25"/>
  <cols>
    <col min="2" max="2" width="45.7109375" customWidth="1"/>
    <col min="3" max="3" width="9.5703125" bestFit="1" customWidth="1"/>
    <col min="4" max="4" width="1.5703125" customWidth="1"/>
    <col min="5" max="5" width="5.7109375" customWidth="1"/>
    <col min="6" max="6" width="1.5703125" customWidth="1"/>
    <col min="7" max="7" width="5.140625" customWidth="1"/>
  </cols>
  <sheetData>
    <row r="3" spans="2:7" x14ac:dyDescent="0.25">
      <c r="G3" s="57" t="s">
        <v>86</v>
      </c>
    </row>
    <row r="4" spans="2:7" x14ac:dyDescent="0.25">
      <c r="B4" t="s">
        <v>83</v>
      </c>
      <c r="C4" s="62">
        <v>5995</v>
      </c>
      <c r="G4" s="58" t="s">
        <v>88</v>
      </c>
    </row>
    <row r="5" spans="2:7" x14ac:dyDescent="0.25">
      <c r="B5" t="s">
        <v>84</v>
      </c>
      <c r="C5" s="56">
        <f>C4/52</f>
        <v>115.28846153846153</v>
      </c>
      <c r="G5" s="58" t="s">
        <v>87</v>
      </c>
    </row>
    <row r="6" spans="2:7" x14ac:dyDescent="0.25">
      <c r="B6" t="s">
        <v>85</v>
      </c>
      <c r="C6">
        <v>12</v>
      </c>
      <c r="G6" s="58" t="s">
        <v>103</v>
      </c>
    </row>
    <row r="7" spans="2:7" x14ac:dyDescent="0.25">
      <c r="B7" t="s">
        <v>89</v>
      </c>
      <c r="C7" s="55">
        <f>C5/C6</f>
        <v>9.6073717948717938</v>
      </c>
      <c r="E7">
        <f>480*0.15</f>
        <v>72</v>
      </c>
      <c r="G7" s="58" t="s">
        <v>102</v>
      </c>
    </row>
    <row r="10" spans="2:7" x14ac:dyDescent="0.25">
      <c r="B10" t="s">
        <v>83</v>
      </c>
      <c r="C10" s="62">
        <v>5995</v>
      </c>
    </row>
    <row r="11" spans="2:7" x14ac:dyDescent="0.25">
      <c r="B11" t="s">
        <v>84</v>
      </c>
      <c r="C11" s="56">
        <f>C10/52</f>
        <v>115.28846153846153</v>
      </c>
    </row>
    <row r="12" spans="2:7" x14ac:dyDescent="0.25">
      <c r="B12" t="s">
        <v>85</v>
      </c>
      <c r="C12">
        <v>12</v>
      </c>
    </row>
    <row r="13" spans="2:7" x14ac:dyDescent="0.25">
      <c r="B13" t="s">
        <v>90</v>
      </c>
      <c r="C13">
        <f>C12*40</f>
        <v>480</v>
      </c>
    </row>
    <row r="14" spans="2:7" x14ac:dyDescent="0.25">
      <c r="B14" t="s">
        <v>91</v>
      </c>
      <c r="C14" s="55">
        <f>C13/C11</f>
        <v>4.1634695579649712</v>
      </c>
    </row>
  </sheetData>
  <pageMargins left="0.7" right="0.7" top="0.75" bottom="0.75" header="0.3" footer="0.3"/>
  <pageSetup paperSize="119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675E94-5152-407A-9AA2-EF3A38A323BF}">
  <sheetPr>
    <pageSetUpPr fitToPage="1"/>
  </sheetPr>
  <dimension ref="A2:M40"/>
  <sheetViews>
    <sheetView workbookViewId="0">
      <selection activeCell="S11" sqref="S11"/>
    </sheetView>
  </sheetViews>
  <sheetFormatPr defaultRowHeight="15" x14ac:dyDescent="0.25"/>
  <cols>
    <col min="1" max="1" width="10.140625" customWidth="1"/>
    <col min="12" max="12" width="3.140625" customWidth="1"/>
    <col min="13" max="13" width="7.140625" customWidth="1"/>
  </cols>
  <sheetData>
    <row r="2" spans="1:13" x14ac:dyDescent="0.25">
      <c r="A2" s="113"/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4"/>
      <c r="M2" s="115"/>
    </row>
    <row r="3" spans="1:13" x14ac:dyDescent="0.25">
      <c r="A3" s="113"/>
      <c r="B3" s="116"/>
      <c r="C3" s="117"/>
      <c r="D3" s="117"/>
      <c r="E3" s="117"/>
      <c r="F3" s="117"/>
      <c r="G3" s="117"/>
      <c r="H3" s="117"/>
      <c r="I3" s="118"/>
      <c r="J3" s="119"/>
      <c r="K3" s="120"/>
      <c r="L3" s="121"/>
      <c r="M3" s="115"/>
    </row>
    <row r="4" spans="1:13" ht="15.75" x14ac:dyDescent="0.25">
      <c r="A4" s="113"/>
      <c r="B4" s="122"/>
      <c r="C4" s="157" t="s">
        <v>147</v>
      </c>
      <c r="D4" s="157"/>
      <c r="E4" s="157"/>
      <c r="F4" s="157"/>
      <c r="G4" s="121"/>
      <c r="H4" s="123"/>
      <c r="I4" s="124"/>
      <c r="J4" s="125"/>
      <c r="K4" s="126"/>
      <c r="L4" s="121"/>
      <c r="M4" s="115"/>
    </row>
    <row r="5" spans="1:13" ht="15.75" x14ac:dyDescent="0.25">
      <c r="A5" s="113"/>
      <c r="B5" s="122"/>
      <c r="C5" s="157" t="s">
        <v>134</v>
      </c>
      <c r="D5" s="157"/>
      <c r="E5" s="157"/>
      <c r="F5" s="157"/>
      <c r="G5" s="121"/>
      <c r="H5" s="123"/>
      <c r="I5" s="124"/>
      <c r="J5" s="125"/>
      <c r="K5" s="126"/>
      <c r="L5" s="121"/>
      <c r="M5" s="115"/>
    </row>
    <row r="6" spans="1:13" ht="15.75" x14ac:dyDescent="0.25">
      <c r="A6" s="113"/>
      <c r="B6" s="122"/>
      <c r="C6" s="157" t="s">
        <v>135</v>
      </c>
      <c r="D6" s="157"/>
      <c r="E6" s="157"/>
      <c r="F6" s="157"/>
      <c r="G6" s="121"/>
      <c r="H6" s="123"/>
      <c r="I6" s="124"/>
      <c r="J6" s="125"/>
      <c r="K6" s="126"/>
      <c r="L6" s="121"/>
      <c r="M6" s="115"/>
    </row>
    <row r="7" spans="1:13" x14ac:dyDescent="0.25">
      <c r="A7" s="113"/>
      <c r="B7" s="122"/>
      <c r="C7" s="123"/>
      <c r="D7" s="123"/>
      <c r="E7" s="123"/>
      <c r="F7" s="123"/>
      <c r="G7" s="123"/>
      <c r="H7" s="123"/>
      <c r="I7" s="124"/>
      <c r="J7" s="125"/>
      <c r="K7" s="126"/>
      <c r="L7" s="121"/>
      <c r="M7" s="115"/>
    </row>
    <row r="8" spans="1:13" x14ac:dyDescent="0.25">
      <c r="A8" s="113"/>
      <c r="B8" s="122"/>
      <c r="C8" s="123"/>
      <c r="D8" s="123"/>
      <c r="E8" s="123"/>
      <c r="F8" s="123"/>
      <c r="G8" s="123"/>
      <c r="H8" s="123"/>
      <c r="I8" s="124"/>
      <c r="J8" s="125"/>
      <c r="K8" s="126"/>
      <c r="L8" s="121"/>
      <c r="M8" s="115"/>
    </row>
    <row r="9" spans="1:13" x14ac:dyDescent="0.25">
      <c r="A9" s="127" t="s">
        <v>133</v>
      </c>
      <c r="B9" s="122"/>
      <c r="C9" s="123"/>
      <c r="D9" s="123"/>
      <c r="E9" s="123"/>
      <c r="F9" s="123"/>
      <c r="G9" s="123"/>
      <c r="H9" s="123"/>
      <c r="I9" s="124"/>
      <c r="J9" s="125"/>
      <c r="K9" s="126"/>
      <c r="L9" s="121"/>
      <c r="M9" s="115"/>
    </row>
    <row r="10" spans="1:13" x14ac:dyDescent="0.25">
      <c r="A10" s="113"/>
      <c r="B10" s="122"/>
      <c r="C10" s="153" t="s">
        <v>124</v>
      </c>
      <c r="D10" s="123"/>
      <c r="E10" s="123"/>
      <c r="F10" s="123"/>
      <c r="G10" s="123"/>
      <c r="H10" s="123"/>
      <c r="I10" s="124"/>
      <c r="J10" s="125"/>
      <c r="K10" s="126"/>
      <c r="L10" s="121"/>
      <c r="M10" s="115"/>
    </row>
    <row r="11" spans="1:13" x14ac:dyDescent="0.25">
      <c r="A11" s="113"/>
      <c r="B11" s="129"/>
      <c r="C11" s="158"/>
      <c r="D11" s="130"/>
      <c r="E11" s="130"/>
      <c r="F11" s="130"/>
      <c r="G11" s="130"/>
      <c r="H11" s="130"/>
      <c r="I11" s="131"/>
      <c r="J11" s="125"/>
      <c r="K11" s="126"/>
      <c r="L11" s="121"/>
      <c r="M11" s="128" t="s">
        <v>130</v>
      </c>
    </row>
    <row r="12" spans="1:13" x14ac:dyDescent="0.25">
      <c r="A12" s="113"/>
      <c r="B12" s="132"/>
      <c r="C12" s="125"/>
      <c r="D12" s="125"/>
      <c r="E12" s="125"/>
      <c r="F12" s="125"/>
      <c r="G12" s="125"/>
      <c r="H12" s="125"/>
      <c r="I12" s="125"/>
      <c r="J12" s="125"/>
      <c r="K12" s="126"/>
      <c r="L12" s="121"/>
      <c r="M12" s="128" t="s">
        <v>125</v>
      </c>
    </row>
    <row r="13" spans="1:13" x14ac:dyDescent="0.25">
      <c r="A13" s="113"/>
      <c r="B13" s="132"/>
      <c r="C13" s="125"/>
      <c r="D13" s="125"/>
      <c r="E13" s="125"/>
      <c r="F13" s="125"/>
      <c r="G13" s="125"/>
      <c r="H13" s="125"/>
      <c r="I13" s="125"/>
      <c r="J13" s="125"/>
      <c r="K13" s="126"/>
      <c r="L13" s="121"/>
      <c r="M13" s="115"/>
    </row>
    <row r="14" spans="1:13" x14ac:dyDescent="0.25">
      <c r="A14" s="113"/>
      <c r="B14" s="132"/>
      <c r="C14" s="154" t="s">
        <v>123</v>
      </c>
      <c r="D14" s="125"/>
      <c r="E14" s="125"/>
      <c r="F14" s="125"/>
      <c r="G14" s="125"/>
      <c r="H14" s="125"/>
      <c r="I14" s="125"/>
      <c r="J14" s="125"/>
      <c r="K14" s="126"/>
      <c r="L14" s="121"/>
      <c r="M14" s="115"/>
    </row>
    <row r="15" spans="1:13" x14ac:dyDescent="0.25">
      <c r="A15" s="113"/>
      <c r="B15" s="132"/>
      <c r="C15" s="125"/>
      <c r="D15" s="125"/>
      <c r="E15" s="125"/>
      <c r="F15" s="125"/>
      <c r="G15" s="132"/>
      <c r="H15" s="125"/>
      <c r="I15" s="125"/>
      <c r="J15" s="125"/>
      <c r="K15" s="126"/>
      <c r="L15" s="121"/>
      <c r="M15" s="115"/>
    </row>
    <row r="16" spans="1:13" x14ac:dyDescent="0.25">
      <c r="A16" s="113"/>
      <c r="B16" s="132"/>
      <c r="C16" s="125"/>
      <c r="D16" s="125"/>
      <c r="E16" s="125"/>
      <c r="F16" s="125"/>
      <c r="G16" s="138"/>
      <c r="H16" s="137"/>
      <c r="I16" s="137"/>
      <c r="J16" s="125"/>
      <c r="K16" s="126"/>
      <c r="L16" s="121"/>
      <c r="M16" s="115"/>
    </row>
    <row r="17" spans="1:13" x14ac:dyDescent="0.25">
      <c r="A17" s="113"/>
      <c r="B17" s="132"/>
      <c r="C17" s="125"/>
      <c r="D17" s="125"/>
      <c r="E17" s="125"/>
      <c r="F17" s="125"/>
      <c r="G17" s="125"/>
      <c r="H17" s="125"/>
      <c r="I17" s="125"/>
      <c r="J17" s="125"/>
      <c r="K17" s="126"/>
      <c r="L17" s="121"/>
      <c r="M17" s="115"/>
    </row>
    <row r="18" spans="1:13" x14ac:dyDescent="0.25">
      <c r="A18" s="113"/>
      <c r="B18" s="132"/>
      <c r="C18" s="125"/>
      <c r="D18" s="125"/>
      <c r="E18" s="125"/>
      <c r="F18" s="125"/>
      <c r="G18" s="125"/>
      <c r="H18" s="125"/>
      <c r="I18" s="125"/>
      <c r="J18" s="125"/>
      <c r="K18" s="126"/>
      <c r="L18" s="121"/>
      <c r="M18" s="115"/>
    </row>
    <row r="19" spans="1:13" x14ac:dyDescent="0.25">
      <c r="A19" s="113"/>
      <c r="B19" s="132"/>
      <c r="C19" s="125"/>
      <c r="D19" s="125" t="s">
        <v>139</v>
      </c>
      <c r="E19" s="159" t="s">
        <v>140</v>
      </c>
      <c r="F19" s="125"/>
      <c r="G19" s="125"/>
      <c r="H19" s="125"/>
      <c r="I19" s="125"/>
      <c r="J19" s="151"/>
      <c r="K19" s="120"/>
      <c r="L19" s="121"/>
      <c r="M19" s="115"/>
    </row>
    <row r="20" spans="1:13" x14ac:dyDescent="0.25">
      <c r="A20" s="113"/>
      <c r="B20" s="133"/>
      <c r="C20" s="133"/>
      <c r="D20" s="125"/>
      <c r="E20" s="125"/>
      <c r="F20" s="151"/>
      <c r="G20" s="133"/>
      <c r="H20" s="125"/>
      <c r="I20" s="125"/>
      <c r="J20" s="212" t="s">
        <v>132</v>
      </c>
      <c r="K20" s="213"/>
      <c r="L20" s="121"/>
      <c r="M20" s="115"/>
    </row>
    <row r="21" spans="1:13" x14ac:dyDescent="0.25">
      <c r="A21" s="113"/>
      <c r="B21" s="134" t="s">
        <v>128</v>
      </c>
      <c r="C21" s="134" t="s">
        <v>129</v>
      </c>
      <c r="D21" s="125"/>
      <c r="E21" s="125"/>
      <c r="F21" s="212" t="s">
        <v>136</v>
      </c>
      <c r="G21" s="213"/>
      <c r="H21" s="125"/>
      <c r="I21" s="125"/>
      <c r="J21" s="132"/>
      <c r="K21" s="126"/>
      <c r="L21" s="121"/>
      <c r="M21" s="115"/>
    </row>
    <row r="22" spans="1:13" x14ac:dyDescent="0.25">
      <c r="A22" s="113"/>
      <c r="B22" s="135"/>
      <c r="C22" s="135"/>
      <c r="D22" s="125" t="s">
        <v>126</v>
      </c>
      <c r="E22" s="132"/>
      <c r="F22" s="152" t="s">
        <v>137</v>
      </c>
      <c r="G22" s="134" t="s">
        <v>138</v>
      </c>
      <c r="H22" s="125"/>
      <c r="I22" s="125"/>
      <c r="J22" s="132"/>
      <c r="K22" s="126"/>
      <c r="L22" s="121"/>
      <c r="M22" s="115"/>
    </row>
    <row r="23" spans="1:13" x14ac:dyDescent="0.25">
      <c r="A23" s="113"/>
      <c r="B23" s="136"/>
      <c r="C23" s="136"/>
      <c r="D23" s="137" t="s">
        <v>127</v>
      </c>
      <c r="E23" s="138"/>
      <c r="F23" s="138"/>
      <c r="G23" s="136"/>
      <c r="H23" s="137"/>
      <c r="I23" s="137"/>
      <c r="J23" s="138"/>
      <c r="K23" s="139"/>
      <c r="L23" s="121"/>
      <c r="M23" s="115"/>
    </row>
    <row r="24" spans="1:13" x14ac:dyDescent="0.25">
      <c r="A24" s="113"/>
      <c r="B24" s="140"/>
      <c r="C24" s="141"/>
      <c r="D24" s="141"/>
      <c r="E24" s="141"/>
      <c r="F24" s="141"/>
      <c r="G24" s="141"/>
      <c r="H24" s="141"/>
      <c r="I24" s="141"/>
      <c r="J24" s="141"/>
      <c r="K24" s="141"/>
      <c r="L24" s="142"/>
      <c r="M24" s="115"/>
    </row>
    <row r="25" spans="1:13" x14ac:dyDescent="0.25">
      <c r="A25" s="113"/>
      <c r="B25" s="140"/>
      <c r="C25" s="155" t="s">
        <v>122</v>
      </c>
      <c r="D25" s="141"/>
      <c r="E25" s="141"/>
      <c r="F25" s="141"/>
      <c r="G25" s="141"/>
      <c r="H25" s="141"/>
      <c r="I25" s="141"/>
      <c r="J25" s="141"/>
      <c r="K25" s="141"/>
      <c r="L25" s="142"/>
      <c r="M25" s="115"/>
    </row>
    <row r="26" spans="1:13" x14ac:dyDescent="0.25">
      <c r="A26" s="113"/>
      <c r="B26" s="140"/>
      <c r="C26" s="141"/>
      <c r="D26" s="141"/>
      <c r="E26" s="141"/>
      <c r="F26" s="141"/>
      <c r="G26" s="141"/>
      <c r="H26" s="141"/>
      <c r="I26" s="141"/>
      <c r="J26" s="141"/>
      <c r="K26" s="141"/>
      <c r="L26" s="142"/>
      <c r="M26" s="115"/>
    </row>
    <row r="27" spans="1:13" x14ac:dyDescent="0.25">
      <c r="A27" s="113"/>
      <c r="B27" s="140"/>
      <c r="C27" s="141"/>
      <c r="D27" s="141"/>
      <c r="E27" s="141"/>
      <c r="F27" s="141"/>
      <c r="G27" s="141"/>
      <c r="H27" s="141"/>
      <c r="I27" s="141"/>
      <c r="J27" s="141"/>
      <c r="K27" s="141"/>
      <c r="L27" s="142"/>
      <c r="M27" s="115"/>
    </row>
    <row r="28" spans="1:13" x14ac:dyDescent="0.25">
      <c r="A28" s="113"/>
      <c r="B28" s="140"/>
      <c r="C28" s="141"/>
      <c r="D28" s="141"/>
      <c r="E28" s="141"/>
      <c r="F28" s="141"/>
      <c r="G28" s="141"/>
      <c r="H28" s="141"/>
      <c r="I28" s="141"/>
      <c r="J28" s="141"/>
      <c r="K28" s="141"/>
      <c r="L28" s="142"/>
      <c r="M28" s="115"/>
    </row>
    <row r="29" spans="1:13" x14ac:dyDescent="0.25">
      <c r="A29" s="113"/>
      <c r="B29" s="143"/>
      <c r="C29" s="144"/>
      <c r="D29" s="141"/>
      <c r="E29" s="144"/>
      <c r="F29" s="144"/>
      <c r="G29" s="144"/>
      <c r="H29" s="144"/>
      <c r="I29" s="141"/>
      <c r="J29" s="144"/>
      <c r="K29" s="144"/>
      <c r="L29" s="142"/>
      <c r="M29" s="115"/>
    </row>
    <row r="30" spans="1:13" x14ac:dyDescent="0.25">
      <c r="A30" s="114"/>
      <c r="B30" s="145"/>
      <c r="C30" s="145"/>
      <c r="D30" s="143"/>
      <c r="E30" s="146"/>
      <c r="F30" s="145"/>
      <c r="G30" s="145"/>
      <c r="H30" s="145"/>
      <c r="I30" s="143"/>
      <c r="J30" s="146"/>
      <c r="K30" s="145"/>
      <c r="L30" s="145"/>
      <c r="M30" s="115"/>
    </row>
    <row r="31" spans="1:13" x14ac:dyDescent="0.25">
      <c r="A31" s="128"/>
      <c r="B31" s="128"/>
      <c r="C31" s="128"/>
      <c r="D31" s="128"/>
      <c r="E31" s="214" t="s">
        <v>121</v>
      </c>
      <c r="F31" s="214"/>
      <c r="G31" s="128"/>
      <c r="H31" s="128"/>
      <c r="I31" s="128"/>
      <c r="J31" s="128"/>
      <c r="K31" s="128"/>
      <c r="L31" s="115"/>
      <c r="M31" s="115"/>
    </row>
    <row r="32" spans="1:13" ht="19.5" customHeight="1" x14ac:dyDescent="0.25">
      <c r="A32" s="128"/>
      <c r="B32" s="128"/>
      <c r="C32" s="128"/>
      <c r="D32" s="128"/>
      <c r="E32" s="215"/>
      <c r="F32" s="215"/>
      <c r="G32" s="128"/>
      <c r="H32" s="128"/>
      <c r="I32" s="128"/>
      <c r="J32" s="128"/>
      <c r="K32" s="128"/>
      <c r="L32" s="115"/>
      <c r="M32" s="115"/>
    </row>
    <row r="33" spans="1:13" x14ac:dyDescent="0.25">
      <c r="A33" s="112"/>
      <c r="B33" s="149"/>
      <c r="C33" s="149"/>
      <c r="D33" s="149"/>
      <c r="E33" s="150"/>
      <c r="F33" s="147"/>
      <c r="G33" s="148"/>
      <c r="H33" s="112"/>
      <c r="I33" s="149"/>
      <c r="J33" s="149"/>
      <c r="K33" s="150"/>
      <c r="L33" s="34"/>
      <c r="M33" s="115"/>
    </row>
    <row r="34" spans="1:13" x14ac:dyDescent="0.25">
      <c r="A34" s="106"/>
      <c r="B34" s="107"/>
      <c r="C34" s="107"/>
      <c r="D34" s="107"/>
      <c r="E34" s="107"/>
      <c r="F34" s="107"/>
      <c r="G34" s="107"/>
      <c r="H34" s="107"/>
      <c r="I34" s="107"/>
      <c r="J34" s="107"/>
      <c r="K34" s="108"/>
      <c r="L34" s="34"/>
      <c r="M34" s="115"/>
    </row>
    <row r="35" spans="1:13" x14ac:dyDescent="0.25">
      <c r="A35" s="106"/>
      <c r="B35" s="107"/>
      <c r="C35" s="156" t="s">
        <v>131</v>
      </c>
      <c r="D35" s="107"/>
      <c r="E35" s="107"/>
      <c r="F35" s="107"/>
      <c r="G35" s="107"/>
      <c r="H35" s="107"/>
      <c r="I35" s="107"/>
      <c r="J35" s="107"/>
      <c r="K35" s="108"/>
      <c r="L35" s="34"/>
      <c r="M35" s="115"/>
    </row>
    <row r="36" spans="1:13" x14ac:dyDescent="0.25">
      <c r="A36" s="106"/>
      <c r="B36" s="107"/>
      <c r="C36" s="107"/>
      <c r="D36" s="107"/>
      <c r="E36" s="107"/>
      <c r="F36" s="107"/>
      <c r="G36" s="107"/>
      <c r="H36" s="107"/>
      <c r="I36" s="107"/>
      <c r="J36" s="107"/>
      <c r="K36" s="108"/>
      <c r="L36" s="34"/>
      <c r="M36" s="115"/>
    </row>
    <row r="37" spans="1:13" x14ac:dyDescent="0.25">
      <c r="A37" s="106"/>
      <c r="B37" s="107"/>
      <c r="C37" s="107"/>
      <c r="D37" s="107"/>
      <c r="E37" s="107"/>
      <c r="F37" s="107"/>
      <c r="G37" s="107"/>
      <c r="H37" s="107"/>
      <c r="I37" s="107"/>
      <c r="J37" s="107"/>
      <c r="K37" s="108"/>
      <c r="L37" s="34"/>
      <c r="M37" s="115"/>
    </row>
    <row r="38" spans="1:13" x14ac:dyDescent="0.25">
      <c r="A38" s="106"/>
      <c r="B38" s="107"/>
      <c r="C38" s="107"/>
      <c r="D38" s="107"/>
      <c r="E38" s="107"/>
      <c r="F38" s="107"/>
      <c r="G38" s="107"/>
      <c r="H38" s="107"/>
      <c r="I38" s="107"/>
      <c r="J38" s="107"/>
      <c r="K38" s="108"/>
      <c r="L38" s="34"/>
      <c r="M38" s="115"/>
    </row>
    <row r="39" spans="1:13" x14ac:dyDescent="0.25">
      <c r="A39" s="106"/>
      <c r="B39" s="107"/>
      <c r="C39" s="107"/>
      <c r="D39" s="107"/>
      <c r="E39" s="107"/>
      <c r="F39" s="107"/>
      <c r="G39" s="107"/>
      <c r="H39" s="107"/>
      <c r="I39" s="107"/>
      <c r="J39" s="107"/>
      <c r="K39" s="108"/>
      <c r="L39" s="34"/>
      <c r="M39" s="115"/>
    </row>
    <row r="40" spans="1:13" x14ac:dyDescent="0.25">
      <c r="A40" s="109"/>
      <c r="B40" s="110"/>
      <c r="C40" s="110"/>
      <c r="D40" s="110"/>
      <c r="E40" s="110"/>
      <c r="F40" s="110"/>
      <c r="G40" s="110"/>
      <c r="H40" s="110"/>
      <c r="I40" s="110"/>
      <c r="J40" s="110"/>
      <c r="K40" s="111"/>
      <c r="L40" s="34"/>
      <c r="M40" s="115"/>
    </row>
  </sheetData>
  <mergeCells count="3">
    <mergeCell ref="J20:K20"/>
    <mergeCell ref="F21:G21"/>
    <mergeCell ref="E31:F32"/>
  </mergeCells>
  <pageMargins left="0.7" right="0.7" top="0.75" bottom="0.75" header="0.3" footer="0.3"/>
  <pageSetup paperSize="119" scale="67" orientation="portrait" horizontalDpi="300" verticalDpi="3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4FF946-9A96-4CAA-8126-0C848B310427}">
  <dimension ref="A1:O32"/>
  <sheetViews>
    <sheetView workbookViewId="0">
      <selection activeCell="O8" sqref="O8"/>
    </sheetView>
  </sheetViews>
  <sheetFormatPr defaultRowHeight="15" x14ac:dyDescent="0.25"/>
  <cols>
    <col min="1" max="1" width="0.85546875" customWidth="1"/>
    <col min="2" max="2" width="21.7109375" customWidth="1"/>
    <col min="3" max="3" width="8.42578125" customWidth="1"/>
    <col min="4" max="4" width="12.7109375" customWidth="1"/>
    <col min="5" max="5" width="1.7109375" customWidth="1"/>
    <col min="6" max="6" width="13.28515625" customWidth="1"/>
    <col min="7" max="7" width="20" customWidth="1"/>
    <col min="8" max="8" width="1.5703125" customWidth="1"/>
    <col min="9" max="9" width="20" customWidth="1"/>
    <col min="10" max="10" width="18.7109375" customWidth="1"/>
    <col min="11" max="11" width="1.85546875" customWidth="1"/>
    <col min="12" max="12" width="18.7109375" customWidth="1"/>
    <col min="13" max="13" width="15.5703125" customWidth="1"/>
    <col min="14" max="14" width="6.7109375" customWidth="1"/>
    <col min="15" max="15" width="12" customWidth="1"/>
  </cols>
  <sheetData>
    <row r="1" spans="1:15" s="178" customFormat="1" ht="18.75" x14ac:dyDescent="0.3">
      <c r="B1" s="179" t="s">
        <v>157</v>
      </c>
    </row>
    <row r="2" spans="1:15" s="191" customFormat="1" ht="4.9000000000000004" customHeight="1" x14ac:dyDescent="0.3">
      <c r="B2" s="190"/>
    </row>
    <row r="3" spans="1:15" x14ac:dyDescent="0.25">
      <c r="A3" s="34"/>
      <c r="B3" s="192" t="s">
        <v>148</v>
      </c>
      <c r="C3" s="195"/>
      <c r="D3" s="196">
        <v>45828</v>
      </c>
      <c r="F3" s="181" t="s">
        <v>152</v>
      </c>
      <c r="G3" s="180">
        <v>45828</v>
      </c>
      <c r="I3" s="181" t="s">
        <v>186</v>
      </c>
      <c r="J3" s="180">
        <v>45828</v>
      </c>
      <c r="L3" s="192" t="s">
        <v>169</v>
      </c>
      <c r="M3" s="198"/>
      <c r="N3" s="149"/>
      <c r="O3" s="196">
        <v>45828</v>
      </c>
    </row>
    <row r="4" spans="1:15" x14ac:dyDescent="0.25">
      <c r="A4" s="34"/>
      <c r="B4" s="182" t="s">
        <v>193</v>
      </c>
      <c r="C4" s="193" t="s">
        <v>156</v>
      </c>
      <c r="D4" s="194" t="s">
        <v>40</v>
      </c>
      <c r="E4" s="34"/>
      <c r="F4" s="182" t="s">
        <v>193</v>
      </c>
      <c r="G4" s="182" t="s">
        <v>194</v>
      </c>
      <c r="H4" s="34"/>
      <c r="I4" s="182" t="s">
        <v>193</v>
      </c>
      <c r="J4" s="182" t="s">
        <v>195</v>
      </c>
      <c r="K4" s="34"/>
      <c r="L4" s="182" t="s">
        <v>193</v>
      </c>
      <c r="M4" s="197" t="s">
        <v>187</v>
      </c>
      <c r="N4" s="197" t="s">
        <v>203</v>
      </c>
      <c r="O4" s="197" t="s">
        <v>204</v>
      </c>
    </row>
    <row r="5" spans="1:15" x14ac:dyDescent="0.25">
      <c r="A5" s="34"/>
      <c r="B5" s="183" t="s">
        <v>149</v>
      </c>
      <c r="C5" s="184">
        <f>D5/D$29</f>
        <v>0.42</v>
      </c>
      <c r="D5" s="185">
        <v>210000</v>
      </c>
      <c r="E5" s="34"/>
      <c r="F5" s="183" t="s">
        <v>149</v>
      </c>
      <c r="G5" s="183" t="s">
        <v>154</v>
      </c>
      <c r="H5" s="34"/>
      <c r="I5" s="183" t="s">
        <v>149</v>
      </c>
      <c r="J5" s="183" t="s">
        <v>159</v>
      </c>
      <c r="K5" s="34"/>
      <c r="L5" s="183" t="s">
        <v>170</v>
      </c>
      <c r="M5" s="183" t="s">
        <v>197</v>
      </c>
      <c r="N5" s="183">
        <v>2016</v>
      </c>
      <c r="O5" s="183">
        <v>9</v>
      </c>
    </row>
    <row r="6" spans="1:15" x14ac:dyDescent="0.25">
      <c r="A6" s="34"/>
      <c r="B6" s="183" t="s">
        <v>150</v>
      </c>
      <c r="C6" s="184">
        <f t="shared" ref="C6:C28" si="0">D6/D$29</f>
        <v>0.18</v>
      </c>
      <c r="D6" s="185">
        <v>90000</v>
      </c>
      <c r="E6" s="34"/>
      <c r="F6" s="183" t="s">
        <v>150</v>
      </c>
      <c r="G6" s="183" t="s">
        <v>155</v>
      </c>
      <c r="H6" s="34"/>
      <c r="I6" s="183" t="s">
        <v>158</v>
      </c>
      <c r="J6" s="183" t="s">
        <v>160</v>
      </c>
      <c r="K6" s="34"/>
      <c r="L6" s="183" t="s">
        <v>171</v>
      </c>
      <c r="M6" s="183" t="s">
        <v>198</v>
      </c>
      <c r="N6" s="183">
        <v>2017</v>
      </c>
      <c r="O6" s="183">
        <v>8</v>
      </c>
    </row>
    <row r="7" spans="1:15" x14ac:dyDescent="0.25">
      <c r="A7" s="34"/>
      <c r="B7" s="183" t="s">
        <v>151</v>
      </c>
      <c r="C7" s="184">
        <f t="shared" si="0"/>
        <v>0.12</v>
      </c>
      <c r="D7" s="185">
        <v>60000</v>
      </c>
      <c r="E7" s="34"/>
      <c r="F7" s="183" t="s">
        <v>151</v>
      </c>
      <c r="G7" s="183" t="s">
        <v>155</v>
      </c>
      <c r="H7" s="34"/>
      <c r="I7" s="183" t="s">
        <v>161</v>
      </c>
      <c r="J7" s="183" t="s">
        <v>162</v>
      </c>
      <c r="K7" s="34"/>
      <c r="L7" s="183" t="s">
        <v>172</v>
      </c>
      <c r="M7" s="183" t="s">
        <v>202</v>
      </c>
      <c r="N7" s="183">
        <v>2018</v>
      </c>
      <c r="O7" s="183">
        <v>7</v>
      </c>
    </row>
    <row r="8" spans="1:15" x14ac:dyDescent="0.25">
      <c r="A8" s="34"/>
      <c r="B8" s="183" t="s">
        <v>165</v>
      </c>
      <c r="C8" s="184">
        <f t="shared" si="0"/>
        <v>7.4999999999999997E-2</v>
      </c>
      <c r="D8" s="185">
        <v>37500</v>
      </c>
      <c r="E8" s="34"/>
      <c r="F8" s="183" t="s">
        <v>153</v>
      </c>
      <c r="G8" s="183" t="s">
        <v>155</v>
      </c>
      <c r="H8" s="34"/>
      <c r="I8" s="183" t="s">
        <v>163</v>
      </c>
      <c r="J8" s="183" t="s">
        <v>164</v>
      </c>
      <c r="K8" s="34"/>
      <c r="L8" s="183" t="s">
        <v>173</v>
      </c>
      <c r="M8" s="183" t="s">
        <v>198</v>
      </c>
      <c r="N8" s="183">
        <v>2018</v>
      </c>
      <c r="O8" s="183">
        <v>7</v>
      </c>
    </row>
    <row r="9" spans="1:15" x14ac:dyDescent="0.25">
      <c r="A9" s="34"/>
      <c r="B9" s="183" t="s">
        <v>163</v>
      </c>
      <c r="C9" s="184">
        <f t="shared" si="0"/>
        <v>5.8999999999999997E-2</v>
      </c>
      <c r="D9" s="185">
        <v>29500</v>
      </c>
      <c r="E9" s="34"/>
      <c r="F9" s="183" t="s">
        <v>161</v>
      </c>
      <c r="G9" s="183" t="s">
        <v>154</v>
      </c>
      <c r="H9" s="34"/>
      <c r="I9" s="183" t="s">
        <v>165</v>
      </c>
      <c r="J9" s="183" t="s">
        <v>166</v>
      </c>
      <c r="K9" s="34"/>
      <c r="L9" s="183" t="s">
        <v>174</v>
      </c>
      <c r="M9" s="183" t="s">
        <v>198</v>
      </c>
      <c r="N9" s="183">
        <v>2019</v>
      </c>
      <c r="O9" s="183">
        <v>6</v>
      </c>
    </row>
    <row r="10" spans="1:15" x14ac:dyDescent="0.25">
      <c r="A10" s="34"/>
      <c r="B10" s="183" t="s">
        <v>158</v>
      </c>
      <c r="C10" s="184">
        <f t="shared" si="0"/>
        <v>3.3000000000000002E-2</v>
      </c>
      <c r="D10" s="185">
        <v>16500</v>
      </c>
      <c r="E10" s="34"/>
      <c r="F10" s="34"/>
      <c r="G10" s="34"/>
      <c r="H10" s="34"/>
      <c r="I10" s="183" t="s">
        <v>167</v>
      </c>
      <c r="J10" s="183" t="s">
        <v>168</v>
      </c>
      <c r="K10" s="34"/>
      <c r="L10" s="183" t="s">
        <v>175</v>
      </c>
      <c r="M10" s="183" t="s">
        <v>198</v>
      </c>
      <c r="N10" s="183">
        <v>2019</v>
      </c>
      <c r="O10" s="183">
        <v>6</v>
      </c>
    </row>
    <row r="11" spans="1:15" x14ac:dyDescent="0.25">
      <c r="A11" s="34"/>
      <c r="B11" s="183" t="s">
        <v>161</v>
      </c>
      <c r="C11" s="184">
        <f t="shared" si="0"/>
        <v>2.3E-2</v>
      </c>
      <c r="D11" s="185">
        <v>11500</v>
      </c>
      <c r="E11" s="34"/>
      <c r="F11" s="34"/>
      <c r="G11" s="34"/>
      <c r="H11" s="34"/>
      <c r="I11" s="34"/>
      <c r="J11" s="34"/>
      <c r="K11" s="34"/>
      <c r="L11" s="183" t="s">
        <v>177</v>
      </c>
      <c r="M11" s="183" t="s">
        <v>0</v>
      </c>
      <c r="N11" s="183">
        <v>2020</v>
      </c>
      <c r="O11" s="183">
        <v>5</v>
      </c>
    </row>
    <row r="12" spans="1:15" x14ac:dyDescent="0.25">
      <c r="A12" s="34"/>
      <c r="B12" s="183" t="s">
        <v>167</v>
      </c>
      <c r="C12" s="184">
        <f t="shared" si="0"/>
        <v>1.0999999999999999E-2</v>
      </c>
      <c r="D12" s="185">
        <v>5500</v>
      </c>
      <c r="E12" s="34"/>
      <c r="F12" s="34"/>
      <c r="G12" s="34"/>
      <c r="H12" s="34"/>
      <c r="I12" s="34"/>
      <c r="J12" s="34"/>
      <c r="K12" s="34"/>
      <c r="L12" s="183" t="s">
        <v>176</v>
      </c>
      <c r="M12" s="183" t="s">
        <v>198</v>
      </c>
      <c r="N12" s="183">
        <v>2020</v>
      </c>
      <c r="O12" s="183">
        <v>5</v>
      </c>
    </row>
    <row r="13" spans="1:15" x14ac:dyDescent="0.25">
      <c r="A13" s="34"/>
      <c r="B13" s="183" t="s">
        <v>170</v>
      </c>
      <c r="C13" s="184">
        <f t="shared" si="0"/>
        <v>8.9999999999999993E-3</v>
      </c>
      <c r="D13" s="185">
        <v>4500</v>
      </c>
      <c r="E13" s="34"/>
      <c r="F13" s="34"/>
      <c r="G13" s="34"/>
      <c r="H13" s="34"/>
      <c r="I13" s="34"/>
      <c r="J13" s="34"/>
      <c r="K13" s="34"/>
      <c r="L13" s="183" t="s">
        <v>178</v>
      </c>
      <c r="M13" s="183" t="s">
        <v>198</v>
      </c>
      <c r="N13" s="183">
        <v>2021</v>
      </c>
      <c r="O13" s="183">
        <v>4</v>
      </c>
    </row>
    <row r="14" spans="1:15" x14ac:dyDescent="0.25">
      <c r="A14" s="34"/>
      <c r="B14" s="183" t="s">
        <v>171</v>
      </c>
      <c r="C14" s="184">
        <f t="shared" si="0"/>
        <v>8.0000000000000002E-3</v>
      </c>
      <c r="D14" s="185">
        <v>4000</v>
      </c>
      <c r="E14" s="34"/>
      <c r="F14" s="34"/>
      <c r="G14" s="34"/>
      <c r="H14" s="34"/>
      <c r="I14" s="34"/>
      <c r="J14" s="34"/>
      <c r="K14" s="34"/>
      <c r="L14" s="183" t="s">
        <v>183</v>
      </c>
      <c r="M14" s="183" t="s">
        <v>198</v>
      </c>
      <c r="N14" s="183">
        <v>2021</v>
      </c>
      <c r="O14" s="183">
        <v>4</v>
      </c>
    </row>
    <row r="15" spans="1:15" x14ac:dyDescent="0.25">
      <c r="A15" s="34"/>
      <c r="B15" s="183" t="s">
        <v>172</v>
      </c>
      <c r="C15" s="184">
        <f t="shared" si="0"/>
        <v>7.0000000000000001E-3</v>
      </c>
      <c r="D15" s="185">
        <v>3500</v>
      </c>
      <c r="E15" s="34"/>
      <c r="F15" s="34"/>
      <c r="G15" s="34"/>
      <c r="H15" s="34"/>
      <c r="I15" s="34"/>
      <c r="J15" s="34"/>
      <c r="K15" s="34"/>
      <c r="L15" s="183" t="s">
        <v>179</v>
      </c>
      <c r="M15" s="183" t="s">
        <v>198</v>
      </c>
      <c r="N15" s="183">
        <v>2021</v>
      </c>
      <c r="O15" s="183">
        <v>4</v>
      </c>
    </row>
    <row r="16" spans="1:15" x14ac:dyDescent="0.25">
      <c r="A16" s="34"/>
      <c r="B16" s="183" t="s">
        <v>173</v>
      </c>
      <c r="C16" s="184">
        <f t="shared" si="0"/>
        <v>7.0000000000000001E-3</v>
      </c>
      <c r="D16" s="185">
        <v>3500</v>
      </c>
      <c r="E16" s="34"/>
      <c r="F16" s="34"/>
      <c r="G16" s="34"/>
      <c r="H16" s="34"/>
      <c r="I16" s="34"/>
      <c r="J16" s="34"/>
      <c r="K16" s="34"/>
      <c r="L16" s="183" t="s">
        <v>180</v>
      </c>
      <c r="M16" s="183" t="s">
        <v>200</v>
      </c>
      <c r="N16" s="183">
        <v>2021</v>
      </c>
      <c r="O16" s="183">
        <v>4</v>
      </c>
    </row>
    <row r="17" spans="1:15" x14ac:dyDescent="0.25">
      <c r="A17" s="34"/>
      <c r="B17" s="183" t="s">
        <v>174</v>
      </c>
      <c r="C17" s="184">
        <f t="shared" si="0"/>
        <v>6.0000000000000001E-3</v>
      </c>
      <c r="D17" s="185">
        <v>3000</v>
      </c>
      <c r="E17" s="34"/>
      <c r="F17" s="34"/>
      <c r="G17" s="34"/>
      <c r="H17" s="34"/>
      <c r="I17" s="34"/>
      <c r="J17" s="34"/>
      <c r="K17" s="34"/>
      <c r="L17" s="183" t="s">
        <v>184</v>
      </c>
      <c r="M17" s="183" t="s">
        <v>199</v>
      </c>
      <c r="N17" s="183">
        <v>2022</v>
      </c>
      <c r="O17" s="183">
        <v>3</v>
      </c>
    </row>
    <row r="18" spans="1:15" x14ac:dyDescent="0.25">
      <c r="A18" s="34"/>
      <c r="B18" s="183" t="s">
        <v>175</v>
      </c>
      <c r="C18" s="184">
        <f t="shared" si="0"/>
        <v>6.0000000000000001E-3</v>
      </c>
      <c r="D18" s="185">
        <v>3000</v>
      </c>
      <c r="E18" s="34"/>
      <c r="F18" s="34"/>
      <c r="G18" s="34"/>
      <c r="H18" s="34"/>
      <c r="I18" s="34"/>
      <c r="J18" s="34"/>
      <c r="K18" s="34"/>
      <c r="L18" s="183" t="s">
        <v>181</v>
      </c>
      <c r="M18" s="183" t="s">
        <v>201</v>
      </c>
      <c r="N18" s="183">
        <v>2022</v>
      </c>
      <c r="O18" s="183">
        <v>3</v>
      </c>
    </row>
    <row r="19" spans="1:15" x14ac:dyDescent="0.25">
      <c r="A19" s="34"/>
      <c r="B19" s="183" t="s">
        <v>177</v>
      </c>
      <c r="C19" s="184">
        <f t="shared" si="0"/>
        <v>5.0000000000000001E-3</v>
      </c>
      <c r="D19" s="185">
        <v>2500</v>
      </c>
      <c r="E19" s="34"/>
      <c r="F19" s="34"/>
      <c r="G19" s="34"/>
      <c r="H19" s="34"/>
      <c r="I19" s="34"/>
      <c r="J19" s="34"/>
      <c r="K19" s="34"/>
      <c r="L19" s="183" t="s">
        <v>185</v>
      </c>
      <c r="M19" s="183" t="s">
        <v>200</v>
      </c>
      <c r="N19" s="183">
        <v>2023</v>
      </c>
      <c r="O19" s="183">
        <v>2</v>
      </c>
    </row>
    <row r="20" spans="1:15" x14ac:dyDescent="0.25">
      <c r="A20" s="34"/>
      <c r="B20" s="183" t="s">
        <v>176</v>
      </c>
      <c r="C20" s="184">
        <f t="shared" si="0"/>
        <v>5.0000000000000001E-3</v>
      </c>
      <c r="D20" s="185">
        <v>2500</v>
      </c>
      <c r="E20" s="34"/>
      <c r="F20" s="34"/>
      <c r="G20" s="34"/>
      <c r="H20" s="34"/>
      <c r="I20" s="34"/>
      <c r="J20" s="34"/>
      <c r="K20" s="34"/>
      <c r="L20" s="183" t="s">
        <v>182</v>
      </c>
      <c r="M20" s="183" t="s">
        <v>198</v>
      </c>
      <c r="N20" s="183">
        <v>2023</v>
      </c>
      <c r="O20" s="183">
        <v>2</v>
      </c>
    </row>
    <row r="21" spans="1:15" x14ac:dyDescent="0.25">
      <c r="A21" s="34"/>
      <c r="B21" s="183" t="s">
        <v>178</v>
      </c>
      <c r="C21" s="184">
        <f t="shared" si="0"/>
        <v>4.0000000000000001E-3</v>
      </c>
      <c r="D21" s="185">
        <v>2000</v>
      </c>
      <c r="E21" s="34"/>
      <c r="F21" s="34"/>
      <c r="G21" s="34"/>
      <c r="H21" s="34"/>
      <c r="I21" s="34"/>
      <c r="J21" s="34"/>
      <c r="K21" s="34"/>
      <c r="L21" s="112" t="s">
        <v>196</v>
      </c>
      <c r="M21" s="149"/>
      <c r="N21" s="149"/>
      <c r="O21" s="186">
        <f>AVERAGE(O5:O20)</f>
        <v>4.9375</v>
      </c>
    </row>
    <row r="22" spans="1:15" x14ac:dyDescent="0.25">
      <c r="A22" s="34"/>
      <c r="B22" s="183" t="s">
        <v>183</v>
      </c>
      <c r="C22" s="184">
        <f t="shared" si="0"/>
        <v>4.0000000000000001E-3</v>
      </c>
      <c r="D22" s="185">
        <v>2000</v>
      </c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</row>
    <row r="23" spans="1:15" x14ac:dyDescent="0.25">
      <c r="A23" s="34"/>
      <c r="B23" s="183" t="s">
        <v>179</v>
      </c>
      <c r="C23" s="184">
        <f t="shared" si="0"/>
        <v>4.0000000000000001E-3</v>
      </c>
      <c r="D23" s="185">
        <v>2000</v>
      </c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</row>
    <row r="24" spans="1:15" x14ac:dyDescent="0.25">
      <c r="A24" s="34"/>
      <c r="B24" s="183" t="s">
        <v>180</v>
      </c>
      <c r="C24" s="184">
        <f t="shared" si="0"/>
        <v>4.0000000000000001E-3</v>
      </c>
      <c r="D24" s="185">
        <v>2000</v>
      </c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</row>
    <row r="25" spans="1:15" x14ac:dyDescent="0.25">
      <c r="A25" s="34"/>
      <c r="B25" s="183" t="s">
        <v>184</v>
      </c>
      <c r="C25" s="184">
        <f t="shared" si="0"/>
        <v>3.0000000000000001E-3</v>
      </c>
      <c r="D25" s="185">
        <v>1500</v>
      </c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</row>
    <row r="26" spans="1:15" x14ac:dyDescent="0.25">
      <c r="A26" s="34"/>
      <c r="B26" s="183" t="s">
        <v>181</v>
      </c>
      <c r="C26" s="184">
        <f t="shared" si="0"/>
        <v>3.0000000000000001E-3</v>
      </c>
      <c r="D26" s="185">
        <v>1500</v>
      </c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</row>
    <row r="27" spans="1:15" x14ac:dyDescent="0.25">
      <c r="A27" s="34"/>
      <c r="B27" s="183" t="s">
        <v>185</v>
      </c>
      <c r="C27" s="184">
        <f t="shared" si="0"/>
        <v>2E-3</v>
      </c>
      <c r="D27" s="185">
        <v>1000</v>
      </c>
      <c r="E27" s="34"/>
      <c r="F27" s="34"/>
      <c r="G27" s="34"/>
      <c r="H27" s="34"/>
      <c r="J27" s="34"/>
      <c r="K27" s="34"/>
      <c r="L27" s="34"/>
      <c r="M27" s="34"/>
      <c r="N27" s="34"/>
      <c r="O27" s="34"/>
    </row>
    <row r="28" spans="1:15" x14ac:dyDescent="0.25">
      <c r="A28" s="34"/>
      <c r="B28" s="183" t="s">
        <v>182</v>
      </c>
      <c r="C28" s="184">
        <f t="shared" si="0"/>
        <v>2E-3</v>
      </c>
      <c r="D28" s="185">
        <v>1000</v>
      </c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</row>
    <row r="29" spans="1:15" x14ac:dyDescent="0.25">
      <c r="A29" s="34"/>
      <c r="B29" s="183"/>
      <c r="C29" s="187">
        <f>SUM(C5:C28)</f>
        <v>1</v>
      </c>
      <c r="D29" s="185">
        <v>500000</v>
      </c>
      <c r="E29" s="34"/>
      <c r="F29" s="34"/>
      <c r="G29" s="34"/>
      <c r="H29" s="34"/>
      <c r="J29" s="34"/>
      <c r="K29" s="34"/>
      <c r="L29" s="34"/>
      <c r="M29" s="34"/>
      <c r="N29" s="34"/>
      <c r="O29" s="34"/>
    </row>
    <row r="30" spans="1:15" ht="5.45" customHeight="1" x14ac:dyDescent="0.25">
      <c r="A30" s="34"/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</row>
    <row r="31" spans="1:15" x14ac:dyDescent="0.25">
      <c r="A31" s="34"/>
      <c r="B31" s="34" t="s">
        <v>205</v>
      </c>
      <c r="C31" s="188">
        <v>1</v>
      </c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</row>
    <row r="32" spans="1:15" x14ac:dyDescent="0.25">
      <c r="A32" s="34"/>
      <c r="B32" s="34" t="s">
        <v>206</v>
      </c>
      <c r="C32" s="189">
        <v>500000</v>
      </c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</row>
  </sheetData>
  <pageMargins left="0.7" right="0.7" top="0.75" bottom="0.75" header="0.3" footer="0.3"/>
  <pageSetup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419662-1BFE-4091-8233-4EE2C1F095DC}">
  <dimension ref="B1:G21"/>
  <sheetViews>
    <sheetView workbookViewId="0">
      <selection activeCell="C10" sqref="C9:C10"/>
    </sheetView>
  </sheetViews>
  <sheetFormatPr defaultRowHeight="15" x14ac:dyDescent="0.25"/>
  <sheetData>
    <row r="1" spans="2:6" x14ac:dyDescent="0.25">
      <c r="B1" t="s">
        <v>192</v>
      </c>
    </row>
    <row r="2" spans="2:6" x14ac:dyDescent="0.25">
      <c r="B2" s="177">
        <v>45828</v>
      </c>
    </row>
    <row r="3" spans="2:6" x14ac:dyDescent="0.25">
      <c r="B3" t="s">
        <v>169</v>
      </c>
      <c r="D3" t="s">
        <v>187</v>
      </c>
      <c r="E3" t="s">
        <v>188</v>
      </c>
      <c r="F3" t="s">
        <v>189</v>
      </c>
    </row>
    <row r="4" spans="2:6" x14ac:dyDescent="0.25">
      <c r="B4" t="s">
        <v>170</v>
      </c>
      <c r="E4">
        <v>2016</v>
      </c>
      <c r="F4">
        <v>9</v>
      </c>
    </row>
    <row r="5" spans="2:6" x14ac:dyDescent="0.25">
      <c r="B5" t="s">
        <v>171</v>
      </c>
      <c r="E5">
        <v>2017</v>
      </c>
      <c r="F5">
        <v>8</v>
      </c>
    </row>
    <row r="6" spans="2:6" x14ac:dyDescent="0.25">
      <c r="B6" t="s">
        <v>172</v>
      </c>
      <c r="E6">
        <v>2018</v>
      </c>
      <c r="F6">
        <v>7</v>
      </c>
    </row>
    <row r="7" spans="2:6" x14ac:dyDescent="0.25">
      <c r="B7" t="s">
        <v>173</v>
      </c>
      <c r="E7">
        <v>2018</v>
      </c>
      <c r="F7">
        <v>7</v>
      </c>
    </row>
    <row r="8" spans="2:6" x14ac:dyDescent="0.25">
      <c r="B8" t="s">
        <v>174</v>
      </c>
      <c r="E8">
        <v>2019</v>
      </c>
      <c r="F8">
        <v>6</v>
      </c>
    </row>
    <row r="9" spans="2:6" x14ac:dyDescent="0.25">
      <c r="B9" t="s">
        <v>175</v>
      </c>
      <c r="E9">
        <v>2019</v>
      </c>
      <c r="F9">
        <v>6</v>
      </c>
    </row>
    <row r="10" spans="2:6" x14ac:dyDescent="0.25">
      <c r="B10" t="s">
        <v>177</v>
      </c>
      <c r="E10">
        <v>2020</v>
      </c>
      <c r="F10">
        <v>5</v>
      </c>
    </row>
    <row r="11" spans="2:6" x14ac:dyDescent="0.25">
      <c r="B11" t="s">
        <v>176</v>
      </c>
      <c r="E11">
        <v>2020</v>
      </c>
      <c r="F11">
        <v>5</v>
      </c>
    </row>
    <row r="12" spans="2:6" x14ac:dyDescent="0.25">
      <c r="B12" t="s">
        <v>178</v>
      </c>
      <c r="E12">
        <v>2021</v>
      </c>
      <c r="F12">
        <v>4</v>
      </c>
    </row>
    <row r="13" spans="2:6" x14ac:dyDescent="0.25">
      <c r="B13" t="s">
        <v>183</v>
      </c>
      <c r="E13">
        <v>2021</v>
      </c>
      <c r="F13">
        <v>4</v>
      </c>
    </row>
    <row r="14" spans="2:6" x14ac:dyDescent="0.25">
      <c r="B14" t="s">
        <v>179</v>
      </c>
      <c r="E14">
        <v>2021</v>
      </c>
      <c r="F14">
        <v>4</v>
      </c>
    </row>
    <row r="15" spans="2:6" x14ac:dyDescent="0.25">
      <c r="B15" t="s">
        <v>180</v>
      </c>
      <c r="E15">
        <v>2021</v>
      </c>
      <c r="F15">
        <v>4</v>
      </c>
    </row>
    <row r="16" spans="2:6" x14ac:dyDescent="0.25">
      <c r="B16" t="s">
        <v>184</v>
      </c>
      <c r="E16">
        <v>2022</v>
      </c>
      <c r="F16">
        <v>3</v>
      </c>
    </row>
    <row r="17" spans="2:7" x14ac:dyDescent="0.25">
      <c r="B17" t="s">
        <v>181</v>
      </c>
      <c r="E17">
        <v>2022</v>
      </c>
      <c r="F17">
        <v>3</v>
      </c>
    </row>
    <row r="18" spans="2:7" x14ac:dyDescent="0.25">
      <c r="B18" t="s">
        <v>185</v>
      </c>
      <c r="E18">
        <v>2023</v>
      </c>
      <c r="F18">
        <v>2</v>
      </c>
    </row>
    <row r="19" spans="2:7" x14ac:dyDescent="0.25">
      <c r="B19" t="s">
        <v>182</v>
      </c>
      <c r="E19">
        <v>2023</v>
      </c>
      <c r="F19">
        <v>2</v>
      </c>
    </row>
    <row r="21" spans="2:7" x14ac:dyDescent="0.25">
      <c r="B21" t="s">
        <v>190</v>
      </c>
      <c r="F21">
        <f>AVERAGE(F4:F19)</f>
        <v>4.9375</v>
      </c>
      <c r="G21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P&amp;L</vt:lpstr>
      <vt:lpstr>Balance Sheet</vt:lpstr>
      <vt:lpstr>periodic P&amp;L</vt:lpstr>
      <vt:lpstr>inventory held</vt:lpstr>
      <vt:lpstr>marketing</vt:lpstr>
      <vt:lpstr>production</vt:lpstr>
      <vt:lpstr>floor plans</vt:lpstr>
      <vt:lpstr>owners + governance</vt:lpstr>
      <vt:lpstr>employees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Jason Healy</dc:creator>
  <cp:lastModifiedBy>Jason Healy</cp:lastModifiedBy>
  <cp:lastPrinted>2025-06-21T05:51:40Z</cp:lastPrinted>
  <dcterms:created xsi:type="dcterms:W3CDTF">2025-02-07T07:30:57Z</dcterms:created>
  <dcterms:modified xsi:type="dcterms:W3CDTF">2025-06-27T11:01:47Z</dcterms:modified>
</cp:coreProperties>
</file>